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Intervenants" sheetId="2" state="visible" r:id="rId2"/>
    <sheet xmlns:r="http://schemas.openxmlformats.org/officeDocument/2006/relationships" name="Chantiers_Zones" sheetId="3" state="visible" r:id="rId3"/>
    <sheet xmlns:r="http://schemas.openxmlformats.org/officeDocument/2006/relationships" name="Indisponibilités" sheetId="4" state="visible" r:id="rId4"/>
    <sheet xmlns:r="http://schemas.openxmlformats.org/officeDocument/2006/relationships" name="Paramètres" sheetId="5" state="visible" r:id="rId5"/>
  </sheets>
  <definedNames>
    <definedName name="_xlnm._FilterDatabase" localSheetId="0" hidden="1">'Synthèse'!$A$6:$T$206</definedName>
    <definedName name="_xlnm._FilterDatabase" localSheetId="1" hidden="1">'Intervenants'!$A$1:$E$101</definedName>
    <definedName name="_xlnm._FilterDatabase" localSheetId="2" hidden="1">'Chantiers_Zones'!$A$1:$G$101</definedName>
    <definedName name="_xlnm._FilterDatabase" localSheetId="3" hidden="1">'Indisponibilités'!$A$1:$F$101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63238"/>
      <sz val="10"/>
    </font>
    <font>
      <name val="Aptos"/>
      <color rgb="00263238"/>
      <sz val="10"/>
    </font>
    <font>
      <name val="Aptos"/>
      <color rgb="0068737D"/>
      <sz val="9"/>
    </font>
    <font>
      <name val="Aptos"/>
      <b val="1"/>
      <color rgb="007F1D1D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E3E6E8"/>
      </patternFill>
    </fill>
    <fill>
      <patternFill patternType="solid">
        <fgColor rgb="00FFFFFF"/>
      </patternFill>
    </fill>
    <fill>
      <patternFill patternType="solid">
        <fgColor rgb="00F4CCCC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2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7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Aptos"/>
        <b val="1"/>
        <color rgb="007F1D1D"/>
        <sz val="10"/>
      </font>
      <fill>
        <patternFill patternType="solid">
          <fgColor rgb="00F4CCCC"/>
        </patternFill>
      </fill>
    </dxf>
    <dxf>
      <font>
        <name val="Aptos"/>
        <b val="1"/>
        <color rgb="002F6B4F"/>
        <sz val="10"/>
      </font>
      <fill>
        <patternFill patternType="solid">
          <fgColor rgb="00D9EAD3"/>
        </patternFill>
      </fill>
    </dxf>
    <dxf>
      <font>
        <name val="Aptos"/>
        <b val="1"/>
        <color rgb="00FFFFFF"/>
        <sz val="10"/>
      </font>
      <fill>
        <patternFill patternType="solid">
          <fgColor rgb="007F1D1D"/>
        </patternFill>
      </fill>
    </dxf>
    <dxf>
      <font>
        <name val="Aptos"/>
        <b val="1"/>
        <color rgb="007F1D1D"/>
        <sz val="10"/>
      </font>
      <fill>
        <patternFill patternType="solid">
          <fgColor rgb="00F4B183"/>
        </patternFill>
      </fill>
    </dxf>
    <dxf>
      <font>
        <name val="Aptos"/>
        <b val="1"/>
        <color rgb="007F1D1D"/>
        <sz val="10"/>
      </font>
      <fill>
        <patternFill patternType="solid">
          <fgColor rgb="00FFD966"/>
        </patternFill>
      </fill>
    </dxf>
    <dxf>
      <font>
        <name val="Aptos"/>
        <b val="1"/>
        <color rgb="00263238"/>
        <sz val="10"/>
      </font>
      <fill>
        <patternFill patternType="solid">
          <fgColor rgb="00DDEBF7"/>
        </patternFill>
      </fill>
    </dxf>
    <dxf>
      <font>
        <name val="Aptos"/>
        <color rgb="0068737D"/>
        <sz val="9"/>
      </font>
      <fill>
        <patternFill patternType="solid">
          <fgColor rgb="00E3E6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T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2" customWidth="1" min="3" max="3"/>
    <col width="12" customWidth="1" min="4" max="4"/>
    <col width="11" customWidth="1" min="5" max="5"/>
    <col width="16" customWidth="1" min="6" max="6"/>
    <col width="23" customWidth="1" min="7" max="7"/>
    <col width="19" customWidth="1" min="8" max="8"/>
    <col width="16" customWidth="1" min="9" max="9"/>
    <col width="28" customWidth="1" min="10" max="10"/>
    <col width="20" customWidth="1" min="11" max="11"/>
    <col width="24" customWidth="1" min="12" max="12"/>
    <col width="14" customWidth="1" min="13" max="13"/>
    <col width="12" customWidth="1" min="14" max="14"/>
    <col width="31" customWidth="1" min="15" max="15"/>
    <col width="23" customWidth="1" min="16" max="16"/>
    <col width="19" customWidth="1" min="17" max="17"/>
    <col width="24" customWidth="1" min="18" max="18"/>
    <col width="21" customWidth="1" min="19" max="19"/>
    <col width="23" customWidth="1" min="20" max="20"/>
  </cols>
  <sheetData>
    <row r="1" ht="28" customHeight="1">
      <c r="A1" s="1" t="inlineStr">
        <is>
          <t>Synthèse — planning des affectations chantier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1" t="n"/>
      <c r="O1" s="21" t="n"/>
      <c r="P1" s="21" t="n"/>
      <c r="Q1" s="21" t="n"/>
      <c r="R1" s="21" t="n"/>
      <c r="S1" s="21" t="n"/>
      <c r="T1" s="22" t="n"/>
    </row>
    <row r="2" ht="25" customHeight="1">
      <c r="A2" s="3" t="inlineStr">
        <is>
          <t>Affectations actives</t>
        </is>
      </c>
      <c r="B2" s="4">
        <f>IF(Paramètres!$B$2="","",COUNTIFS($B$7:$B$206,Paramètres!$B$2,$M$7:$M$206,"&lt;&gt;Annulée",$A$7:$A$206,"&lt;&gt;"))</f>
        <v/>
      </c>
      <c r="D2" s="3" t="inlineStr">
        <is>
          <t>Heures planifiées</t>
        </is>
      </c>
      <c r="E2" s="5">
        <f>IF(Paramètres!$B$2="","",IF(COUNTIFS($B$7:$B$206,Paramètres!$B$2,$M$7:$M$206,"&lt;&gt;Annulée",$A$7:$A$206,"&lt;&gt;")=0,"",SUMIFS($E$7:$E$206,$B$7:$B$206,Paramètres!$B$2,$M$7:$M$206,"&lt;&gt;Annulée",$A$7:$A$206,"&lt;&gt;")))</f>
        <v/>
      </c>
      <c r="G2" s="3" t="inlineStr">
        <is>
          <t>Alertes à traiter</t>
        </is>
      </c>
      <c r="H2" s="4">
        <f>IF(Paramètres!$B$2="","",IF(COUNTIFS($B$7:$B$206,Paramètres!$B$2,$A$7:$A$206,"&lt;&gt;")=0,"",COUNTIFS($B$7:$B$206,Paramètres!$B$2,$T$7:$T$206,"&lt;&gt;OK",$T$7:$T$206,"&lt;&gt;",$A$7:$A$206,"&lt;&gt;")))</f>
        <v/>
      </c>
      <c r="J2" s="3" t="inlineStr">
        <is>
          <t>Date de pilotage</t>
        </is>
      </c>
      <c r="K2" s="23">
        <f>IF(Paramètres!$B$2="","",Paramètres!$B$2)</f>
        <v/>
      </c>
    </row>
    <row r="3"/>
    <row r="4" ht="22" customHeight="1">
      <c r="A4" s="7" t="inlineStr">
        <is>
          <t>Cellule modifiable</t>
        </is>
      </c>
      <c r="B4" s="8" t="inlineStr">
        <is>
          <t>Saisie</t>
        </is>
      </c>
      <c r="D4" s="7" t="inlineStr">
        <is>
          <t>Calcul automatique</t>
        </is>
      </c>
      <c r="E4" s="9" t="inlineStr">
        <is>
          <t>Formule</t>
        </is>
      </c>
      <c r="G4" s="7" t="inlineStr">
        <is>
          <t>Alerte</t>
        </is>
      </c>
      <c r="H4" s="10" t="inlineStr">
        <is>
          <t>À contrôler</t>
        </is>
      </c>
    </row>
    <row r="5"/>
    <row r="6" ht="42" customHeight="1">
      <c r="A6" s="11" t="inlineStr">
        <is>
          <t>ID affectation</t>
        </is>
      </c>
      <c r="B6" s="11" t="inlineStr">
        <is>
          <t>Date</t>
        </is>
      </c>
      <c r="C6" s="11" t="inlineStr">
        <is>
          <t>Heure début</t>
        </is>
      </c>
      <c r="D6" s="11" t="inlineStr">
        <is>
          <t>Heure fin</t>
        </is>
      </c>
      <c r="E6" s="11" t="inlineStr">
        <is>
          <t>Durée (h)</t>
        </is>
      </c>
      <c r="F6" s="11" t="inlineStr">
        <is>
          <t>ID intervenant</t>
        </is>
      </c>
      <c r="G6" s="11" t="inlineStr">
        <is>
          <t>Nom affiché</t>
        </is>
      </c>
      <c r="H6" s="11" t="inlineStr">
        <is>
          <t>Équipe</t>
        </is>
      </c>
      <c r="I6" s="11" t="inlineStr">
        <is>
          <t>ID chantier</t>
        </is>
      </c>
      <c r="J6" s="11" t="inlineStr">
        <is>
          <t>Chantier</t>
        </is>
      </c>
      <c r="K6" s="11" t="inlineStr">
        <is>
          <t>Zone</t>
        </is>
      </c>
      <c r="L6" s="11" t="inlineStr">
        <is>
          <t>Tâche</t>
        </is>
      </c>
      <c r="M6" s="11" t="inlineStr">
        <is>
          <t>Statut</t>
        </is>
      </c>
      <c r="N6" s="11" t="inlineStr">
        <is>
          <t>Priorité</t>
        </is>
      </c>
      <c r="O6" s="11" t="inlineStr">
        <is>
          <t>Commentaire</t>
        </is>
      </c>
      <c r="P6" s="11" t="inlineStr">
        <is>
          <t>Conflit horaire</t>
        </is>
      </c>
      <c r="Q6" s="11" t="inlineStr">
        <is>
          <t>Indisponibilité</t>
        </is>
      </c>
      <c r="R6" s="11" t="inlineStr">
        <is>
          <t>Cohérence chantier-zone</t>
        </is>
      </c>
      <c r="S6" s="11" t="inlineStr">
        <is>
          <t>Période chantier</t>
        </is>
      </c>
      <c r="T6" s="11" t="inlineStr">
        <is>
          <t>Alerte globale</t>
        </is>
      </c>
    </row>
    <row r="7">
      <c r="A7" s="12" t="inlineStr">
        <is>
          <t>AFF-001</t>
        </is>
      </c>
      <c r="B7" s="24" t="n">
        <v>46273</v>
      </c>
      <c r="C7" s="25" t="n">
        <v>0.3333333333333333</v>
      </c>
      <c r="D7" s="25" t="n">
        <v>0.5</v>
      </c>
      <c r="E7" s="15">
        <f>IF(OR(C7="",D7=""),"",IF(D7&gt;C7,(D7-C7)*24,""))</f>
        <v/>
      </c>
      <c r="F7" s="12" t="inlineStr">
        <is>
          <t>INT-001</t>
        </is>
      </c>
      <c r="G7" s="16">
        <f>IF(F7="","",IFERROR(_xlfn.XLOOKUP(F7,Intervenants!$A$2:$A$101,Intervenants!$B$2:$B$101),"ID inconnu"))</f>
        <v/>
      </c>
      <c r="H7" s="16">
        <f>IF(F7="","",IFERROR(_xlfn.XLOOKUP(F7,Intervenants!$A$2:$A$101,Intervenants!$C$2:$C$101),"ID inconnu"))</f>
        <v/>
      </c>
      <c r="I7" s="12" t="inlineStr">
        <is>
          <t>DEMO-A</t>
        </is>
      </c>
      <c r="J7" s="16">
        <f>IF(I7="","",IFERROR(_xlfn.XLOOKUP(I7,Chantiers_Zones!$B$2:$B$101,Chantiers_Zones!$C$2:$C$101),"CHANTIER INCONNU"))</f>
        <v/>
      </c>
      <c r="K7" s="12" t="inlineStr">
        <is>
          <t>Zone Nord</t>
        </is>
      </c>
      <c r="L7" s="12" t="inlineStr">
        <is>
          <t>Installation</t>
        </is>
      </c>
      <c r="M7" s="8" t="inlineStr">
        <is>
          <t>Confirmée</t>
        </is>
      </c>
      <c r="N7" s="8" t="inlineStr">
        <is>
          <t>Haute</t>
        </is>
      </c>
      <c r="O7" s="17" t="inlineStr">
        <is>
          <t>Chevauchement fictif à contrôler</t>
        </is>
      </c>
      <c r="P7" s="9">
        <f>IF(M7="Annulée","OK",IF(OR(B7="",C7="",D7="",F7=""),"",IF(COUNTIFS($F$7:$F$206,F7,$B$7:$B$206,B7,$C$7:$C$206,"&lt;"&amp;D7,$D$7:$D$206,"&gt;"&amp;C7,$M$7:$M$206,"&lt;&gt;Annulée")&gt;1,"DOUBLE RÉSERVATION","OK")))</f>
        <v/>
      </c>
      <c r="Q7" s="9">
        <f>IF(M7="Annulée","OK",IF(OR(B7="",C7="",D7="",F7=""),"",IF(SUMPRODUCT((Indisponibilités!$A$2:$A$101=F7)*((Indisponibilités!$B$2:$B$101+Indisponibilités!$C$2:$C$101)&lt;(B7+D7))*((Indisponibilités!$D$2:$D$101+Indisponibilités!$E$2:$E$101)&gt;(B7+C7)))&gt;0,"INDISPONIBLE","OK")))</f>
        <v/>
      </c>
      <c r="R7" s="9">
        <f>IF(OR(I7="",K7=""),"",IF(COUNTIFS(Chantiers_Zones!$B$2:$B$101,I7,Chantiers_Zones!$D$2:$D$101,K7,Chantiers_Zones!$E$2:$E$101,"Oui")&gt;0,"OK","ZONE INVALIDE"))</f>
        <v/>
      </c>
      <c r="S7" s="9">
        <f>IF(OR(B7="",I7=""),"",IFERROR(IF(AND(B7&gt;=_xlfn.XLOOKUP(I7,Chantiers_Zones!$B$2:$B$101,Chantiers_Zones!$F$2:$F$101),B7&lt;=_xlfn.XLOOKUP(I7,Chantiers_Zones!$B$2:$B$101,Chantiers_Zones!$G$2:$G$101)),"OK","HORS PÉRIODE"),"CHANTIER INCONNU"))</f>
        <v/>
      </c>
      <c r="T7" s="9">
        <f>IF(COUNTA(A7:D7,F7,I7,K7:O7)=0,"",IF(M7="Annulée","OK",IF(OR(A7="",B7="",C7="",D7="",F7="",I7="",K7="",L7="",M7=""),"INCOMPLET",IF(D7&lt;=C7,"HORAIRES INVALIDES",IF(OR(C7&lt;Paramètres!$B$3,D7&gt;Paramètres!$B$4),"HORS PLAGE",IF(P7&lt;&gt;"OK",P7,IF(Q7&lt;&gt;"OK",Q7,IF(R7&lt;&gt;"OK",R7,IF(S7&lt;&gt;"OK",S7,"OK")))))))))</f>
        <v/>
      </c>
    </row>
    <row r="8">
      <c r="A8" s="12" t="inlineStr">
        <is>
          <t>AFF-002</t>
        </is>
      </c>
      <c r="B8" s="24" t="n">
        <v>46273</v>
      </c>
      <c r="C8" s="25" t="n">
        <v>0.4166666666666667</v>
      </c>
      <c r="D8" s="25" t="n">
        <v>0.5833333333333334</v>
      </c>
      <c r="E8" s="15">
        <f>IF(OR(C8="",D8=""),"",IF(D8&gt;C8,(D8-C8)*24,""))</f>
        <v/>
      </c>
      <c r="F8" s="12" t="inlineStr">
        <is>
          <t>INT-001</t>
        </is>
      </c>
      <c r="G8" s="16">
        <f>IF(F8="","",IFERROR(_xlfn.XLOOKUP(F8,Intervenants!$A$2:$A$101,Intervenants!$B$2:$B$101),"ID inconnu"))</f>
        <v/>
      </c>
      <c r="H8" s="16">
        <f>IF(F8="","",IFERROR(_xlfn.XLOOKUP(F8,Intervenants!$A$2:$A$101,Intervenants!$C$2:$C$101),"ID inconnu"))</f>
        <v/>
      </c>
      <c r="I8" s="12" t="inlineStr">
        <is>
          <t>DEMO-A</t>
        </is>
      </c>
      <c r="J8" s="16">
        <f>IF(I8="","",IFERROR(_xlfn.XLOOKUP(I8,Chantiers_Zones!$B$2:$B$101,Chantiers_Zones!$C$2:$C$101),"CHANTIER INCONNU"))</f>
        <v/>
      </c>
      <c r="K8" s="12" t="inlineStr">
        <is>
          <t>Zone Sud</t>
        </is>
      </c>
      <c r="L8" s="12" t="inlineStr">
        <is>
          <t>Contrôle</t>
        </is>
      </c>
      <c r="M8" s="8" t="inlineStr">
        <is>
          <t>Prévue</t>
        </is>
      </c>
      <c r="N8" s="8" t="inlineStr">
        <is>
          <t>Normale</t>
        </is>
      </c>
      <c r="O8" s="17" t="inlineStr">
        <is>
          <t>Chevauchement fictif à contrôler</t>
        </is>
      </c>
      <c r="P8" s="9">
        <f>IF(M8="Annulée","OK",IF(OR(B8="",C8="",D8="",F8=""),"",IF(COUNTIFS($F$7:$F$206,F8,$B$7:$B$206,B8,$C$7:$C$206,"&lt;"&amp;D8,$D$7:$D$206,"&gt;"&amp;C8,$M$7:$M$206,"&lt;&gt;Annulée")&gt;1,"DOUBLE RÉSERVATION","OK")))</f>
        <v/>
      </c>
      <c r="Q8" s="9">
        <f>IF(M8="Annulée","OK",IF(OR(B8="",C8="",D8="",F8=""),"",IF(SUMPRODUCT((Indisponibilités!$A$2:$A$101=F8)*((Indisponibilités!$B$2:$B$101+Indisponibilités!$C$2:$C$101)&lt;(B8+D8))*((Indisponibilités!$D$2:$D$101+Indisponibilités!$E$2:$E$101)&gt;(B8+C8)))&gt;0,"INDISPONIBLE","OK")))</f>
        <v/>
      </c>
      <c r="R8" s="9">
        <f>IF(OR(I8="",K8=""),"",IF(COUNTIFS(Chantiers_Zones!$B$2:$B$101,I8,Chantiers_Zones!$D$2:$D$101,K8,Chantiers_Zones!$E$2:$E$101,"Oui")&gt;0,"OK","ZONE INVALIDE"))</f>
        <v/>
      </c>
      <c r="S8" s="9">
        <f>IF(OR(B8="",I8=""),"",IFERROR(IF(AND(B8&gt;=_xlfn.XLOOKUP(I8,Chantiers_Zones!$B$2:$B$101,Chantiers_Zones!$F$2:$F$101),B8&lt;=_xlfn.XLOOKUP(I8,Chantiers_Zones!$B$2:$B$101,Chantiers_Zones!$G$2:$G$101)),"OK","HORS PÉRIODE"),"CHANTIER INCONNU"))</f>
        <v/>
      </c>
      <c r="T8" s="9">
        <f>IF(COUNTA(A8:D8,F8,I8,K8:O8)=0,"",IF(M8="Annulée","OK",IF(OR(A8="",B8="",C8="",D8="",F8="",I8="",K8="",L8="",M8=""),"INCOMPLET",IF(D8&lt;=C8,"HORAIRES INVALIDES",IF(OR(C8&lt;Paramètres!$B$3,D8&gt;Paramètres!$B$4),"HORS PLAGE",IF(P8&lt;&gt;"OK",P8,IF(Q8&lt;&gt;"OK",Q8,IF(R8&lt;&gt;"OK",R8,IF(S8&lt;&gt;"OK",S8,"OK")))))))))</f>
        <v/>
      </c>
    </row>
    <row r="9">
      <c r="A9" s="12" t="inlineStr">
        <is>
          <t>AFF-003</t>
        </is>
      </c>
      <c r="B9" s="24" t="n">
        <v>46273</v>
      </c>
      <c r="C9" s="25" t="n">
        <v>0.375</v>
      </c>
      <c r="D9" s="25" t="n">
        <v>0.4583333333333333</v>
      </c>
      <c r="E9" s="15">
        <f>IF(OR(C9="",D9=""),"",IF(D9&gt;C9,(D9-C9)*24,""))</f>
        <v/>
      </c>
      <c r="F9" s="12" t="inlineStr">
        <is>
          <t>INT-002</t>
        </is>
      </c>
      <c r="G9" s="16">
        <f>IF(F9="","",IFERROR(_xlfn.XLOOKUP(F9,Intervenants!$A$2:$A$101,Intervenants!$B$2:$B$101),"ID inconnu"))</f>
        <v/>
      </c>
      <c r="H9" s="16">
        <f>IF(F9="","",IFERROR(_xlfn.XLOOKUP(F9,Intervenants!$A$2:$A$101,Intervenants!$C$2:$C$101),"ID inconnu"))</f>
        <v/>
      </c>
      <c r="I9" s="12" t="inlineStr">
        <is>
          <t>DEMO-B</t>
        </is>
      </c>
      <c r="J9" s="16">
        <f>IF(I9="","",IFERROR(_xlfn.XLOOKUP(I9,Chantiers_Zones!$B$2:$B$101,Chantiers_Zones!$C$2:$C$101),"CHANTIER INCONNU"))</f>
        <v/>
      </c>
      <c r="K9" s="12" t="inlineStr">
        <is>
          <t>Niveau 1</t>
        </is>
      </c>
      <c r="L9" s="12" t="inlineStr">
        <is>
          <t>Préparation</t>
        </is>
      </c>
      <c r="M9" s="8" t="inlineStr">
        <is>
          <t>Confirmée</t>
        </is>
      </c>
      <c r="N9" s="8" t="inlineStr">
        <is>
          <t>Haute</t>
        </is>
      </c>
      <c r="O9" s="17" t="inlineStr">
        <is>
          <t>Indisponibilité témoin</t>
        </is>
      </c>
      <c r="P9" s="9">
        <f>IF(M9="Annulée","OK",IF(OR(B9="",C9="",D9="",F9=""),"",IF(COUNTIFS($F$7:$F$206,F9,$B$7:$B$206,B9,$C$7:$C$206,"&lt;"&amp;D9,$D$7:$D$206,"&gt;"&amp;C9,$M$7:$M$206,"&lt;&gt;Annulée")&gt;1,"DOUBLE RÉSERVATION","OK")))</f>
        <v/>
      </c>
      <c r="Q9" s="9">
        <f>IF(M9="Annulée","OK",IF(OR(B9="",C9="",D9="",F9=""),"",IF(SUMPRODUCT((Indisponibilités!$A$2:$A$101=F9)*((Indisponibilités!$B$2:$B$101+Indisponibilités!$C$2:$C$101)&lt;(B9+D9))*((Indisponibilités!$D$2:$D$101+Indisponibilités!$E$2:$E$101)&gt;(B9+C9)))&gt;0,"INDISPONIBLE","OK")))</f>
        <v/>
      </c>
      <c r="R9" s="9">
        <f>IF(OR(I9="",K9=""),"",IF(COUNTIFS(Chantiers_Zones!$B$2:$B$101,I9,Chantiers_Zones!$D$2:$D$101,K9,Chantiers_Zones!$E$2:$E$101,"Oui")&gt;0,"OK","ZONE INVALIDE"))</f>
        <v/>
      </c>
      <c r="S9" s="9">
        <f>IF(OR(B9="",I9=""),"",IFERROR(IF(AND(B9&gt;=_xlfn.XLOOKUP(I9,Chantiers_Zones!$B$2:$B$101,Chantiers_Zones!$F$2:$F$101),B9&lt;=_xlfn.XLOOKUP(I9,Chantiers_Zones!$B$2:$B$101,Chantiers_Zones!$G$2:$G$101)),"OK","HORS PÉRIODE"),"CHANTIER INCONNU"))</f>
        <v/>
      </c>
      <c r="T9" s="9">
        <f>IF(COUNTA(A9:D9,F9,I9,K9:O9)=0,"",IF(M9="Annulée","OK",IF(OR(A9="",B9="",C9="",D9="",F9="",I9="",K9="",L9="",M9=""),"INCOMPLET",IF(D9&lt;=C9,"HORAIRES INVALIDES",IF(OR(C9&lt;Paramètres!$B$3,D9&gt;Paramètres!$B$4),"HORS PLAGE",IF(P9&lt;&gt;"OK",P9,IF(Q9&lt;&gt;"OK",Q9,IF(R9&lt;&gt;"OK",R9,IF(S9&lt;&gt;"OK",S9,"OK")))))))))</f>
        <v/>
      </c>
    </row>
    <row r="10">
      <c r="A10" s="12" t="inlineStr">
        <is>
          <t>AFF-004</t>
        </is>
      </c>
      <c r="B10" s="24" t="n">
        <v>46274</v>
      </c>
      <c r="C10" s="25" t="n">
        <v>0.3125</v>
      </c>
      <c r="D10" s="25" t="n">
        <v>0.4583333333333333</v>
      </c>
      <c r="E10" s="15">
        <f>IF(OR(C10="",D10=""),"",IF(D10&gt;C10,(D10-C10)*24,""))</f>
        <v/>
      </c>
      <c r="F10" s="12" t="inlineStr">
        <is>
          <t>INT-003</t>
        </is>
      </c>
      <c r="G10" s="16">
        <f>IF(F10="","",IFERROR(_xlfn.XLOOKUP(F10,Intervenants!$A$2:$A$101,Intervenants!$B$2:$B$101),"ID inconnu"))</f>
        <v/>
      </c>
      <c r="H10" s="16">
        <f>IF(F10="","",IFERROR(_xlfn.XLOOKUP(F10,Intervenants!$A$2:$A$101,Intervenants!$C$2:$C$101),"ID inconnu"))</f>
        <v/>
      </c>
      <c r="I10" s="12" t="inlineStr">
        <is>
          <t>DEMO-A</t>
        </is>
      </c>
      <c r="J10" s="16">
        <f>IF(I10="","",IFERROR(_xlfn.XLOOKUP(I10,Chantiers_Zones!$B$2:$B$101,Chantiers_Zones!$C$2:$C$101),"CHANTIER INCONNU"))</f>
        <v/>
      </c>
      <c r="K10" s="12" t="inlineStr">
        <is>
          <t>Zone Nord</t>
        </is>
      </c>
      <c r="L10" s="12" t="inlineStr">
        <is>
          <t>Repérage</t>
        </is>
      </c>
      <c r="M10" s="8" t="inlineStr">
        <is>
          <t>Confirmée</t>
        </is>
      </c>
      <c r="N10" s="8" t="inlineStr">
        <is>
          <t>Normale</t>
        </is>
      </c>
      <c r="O10" s="17" t="inlineStr"/>
      <c r="P10" s="9">
        <f>IF(M10="Annulée","OK",IF(OR(B10="",C10="",D10="",F10=""),"",IF(COUNTIFS($F$7:$F$206,F10,$B$7:$B$206,B10,$C$7:$C$206,"&lt;"&amp;D10,$D$7:$D$206,"&gt;"&amp;C10,$M$7:$M$206,"&lt;&gt;Annulée")&gt;1,"DOUBLE RÉSERVATION","OK")))</f>
        <v/>
      </c>
      <c r="Q10" s="9">
        <f>IF(M10="Annulée","OK",IF(OR(B10="",C10="",D10="",F10=""),"",IF(SUMPRODUCT((Indisponibilités!$A$2:$A$101=F10)*((Indisponibilités!$B$2:$B$101+Indisponibilités!$C$2:$C$101)&lt;(B10+D10))*((Indisponibilités!$D$2:$D$101+Indisponibilités!$E$2:$E$101)&gt;(B10+C10)))&gt;0,"INDISPONIBLE","OK")))</f>
        <v/>
      </c>
      <c r="R10" s="9">
        <f>IF(OR(I10="",K10=""),"",IF(COUNTIFS(Chantiers_Zones!$B$2:$B$101,I10,Chantiers_Zones!$D$2:$D$101,K10,Chantiers_Zones!$E$2:$E$101,"Oui")&gt;0,"OK","ZONE INVALIDE"))</f>
        <v/>
      </c>
      <c r="S10" s="9">
        <f>IF(OR(B10="",I10=""),"",IFERROR(IF(AND(B10&gt;=_xlfn.XLOOKUP(I10,Chantiers_Zones!$B$2:$B$101,Chantiers_Zones!$F$2:$F$101),B10&lt;=_xlfn.XLOOKUP(I10,Chantiers_Zones!$B$2:$B$101,Chantiers_Zones!$G$2:$G$101)),"OK","HORS PÉRIODE"),"CHANTIER INCONNU"))</f>
        <v/>
      </c>
      <c r="T10" s="9">
        <f>IF(COUNTA(A10:D10,F10,I10,K10:O10)=0,"",IF(M10="Annulée","OK",IF(OR(A10="",B10="",C10="",D10="",F10="",I10="",K10="",L10="",M10=""),"INCOMPLET",IF(D10&lt;=C10,"HORAIRES INVALIDES",IF(OR(C10&lt;Paramètres!$B$3,D10&gt;Paramètres!$B$4),"HORS PLAGE",IF(P10&lt;&gt;"OK",P10,IF(Q10&lt;&gt;"OK",Q10,IF(R10&lt;&gt;"OK",R10,IF(S10&lt;&gt;"OK",S10,"OK")))))))))</f>
        <v/>
      </c>
    </row>
    <row r="11">
      <c r="A11" s="12" t="inlineStr">
        <is>
          <t>AFF-005</t>
        </is>
      </c>
      <c r="B11" s="24" t="n">
        <v>46274</v>
      </c>
      <c r="C11" s="25" t="n">
        <v>0.5416666666666666</v>
      </c>
      <c r="D11" s="25" t="n">
        <v>0.7083333333333334</v>
      </c>
      <c r="E11" s="15">
        <f>IF(OR(C11="",D11=""),"",IF(D11&gt;C11,(D11-C11)*24,""))</f>
        <v/>
      </c>
      <c r="F11" s="12" t="inlineStr">
        <is>
          <t>INT-001</t>
        </is>
      </c>
      <c r="G11" s="16">
        <f>IF(F11="","",IFERROR(_xlfn.XLOOKUP(F11,Intervenants!$A$2:$A$101,Intervenants!$B$2:$B$101),"ID inconnu"))</f>
        <v/>
      </c>
      <c r="H11" s="16">
        <f>IF(F11="","",IFERROR(_xlfn.XLOOKUP(F11,Intervenants!$A$2:$A$101,Intervenants!$C$2:$C$101),"ID inconnu"))</f>
        <v/>
      </c>
      <c r="I11" s="12" t="inlineStr">
        <is>
          <t>DEMO-B</t>
        </is>
      </c>
      <c r="J11" s="16">
        <f>IF(I11="","",IFERROR(_xlfn.XLOOKUP(I11,Chantiers_Zones!$B$2:$B$101,Chantiers_Zones!$C$2:$C$101),"CHANTIER INCONNU"))</f>
        <v/>
      </c>
      <c r="K11" s="12" t="inlineStr">
        <is>
          <t>Niveau 1</t>
        </is>
      </c>
      <c r="L11" s="12" t="inlineStr">
        <is>
          <t>Pose témoin</t>
        </is>
      </c>
      <c r="M11" s="8" t="inlineStr">
        <is>
          <t>Prévue</t>
        </is>
      </c>
      <c r="N11" s="8" t="inlineStr">
        <is>
          <t>Normale</t>
        </is>
      </c>
      <c r="O11" s="17" t="inlineStr"/>
      <c r="P11" s="9">
        <f>IF(M11="Annulée","OK",IF(OR(B11="",C11="",D11="",F11=""),"",IF(COUNTIFS($F$7:$F$206,F11,$B$7:$B$206,B11,$C$7:$C$206,"&lt;"&amp;D11,$D$7:$D$206,"&gt;"&amp;C11,$M$7:$M$206,"&lt;&gt;Annulée")&gt;1,"DOUBLE RÉSERVATION","OK")))</f>
        <v/>
      </c>
      <c r="Q11" s="9">
        <f>IF(M11="Annulée","OK",IF(OR(B11="",C11="",D11="",F11=""),"",IF(SUMPRODUCT((Indisponibilités!$A$2:$A$101=F11)*((Indisponibilités!$B$2:$B$101+Indisponibilités!$C$2:$C$101)&lt;(B11+D11))*((Indisponibilités!$D$2:$D$101+Indisponibilités!$E$2:$E$101)&gt;(B11+C11)))&gt;0,"INDISPONIBLE","OK")))</f>
        <v/>
      </c>
      <c r="R11" s="9">
        <f>IF(OR(I11="",K11=""),"",IF(COUNTIFS(Chantiers_Zones!$B$2:$B$101,I11,Chantiers_Zones!$D$2:$D$101,K11,Chantiers_Zones!$E$2:$E$101,"Oui")&gt;0,"OK","ZONE INVALIDE"))</f>
        <v/>
      </c>
      <c r="S11" s="9">
        <f>IF(OR(B11="",I11=""),"",IFERROR(IF(AND(B11&gt;=_xlfn.XLOOKUP(I11,Chantiers_Zones!$B$2:$B$101,Chantiers_Zones!$F$2:$F$101),B11&lt;=_xlfn.XLOOKUP(I11,Chantiers_Zones!$B$2:$B$101,Chantiers_Zones!$G$2:$G$101)),"OK","HORS PÉRIODE"),"CHANTIER INCONNU"))</f>
        <v/>
      </c>
      <c r="T11" s="9">
        <f>IF(COUNTA(A11:D11,F11,I11,K11:O11)=0,"",IF(M11="Annulée","OK",IF(OR(A11="",B11="",C11="",D11="",F11="",I11="",K11="",L11="",M11=""),"INCOMPLET",IF(D11&lt;=C11,"HORAIRES INVALIDES",IF(OR(C11&lt;Paramètres!$B$3,D11&gt;Paramètres!$B$4),"HORS PLAGE",IF(P11&lt;&gt;"OK",P11,IF(Q11&lt;&gt;"OK",Q11,IF(R11&lt;&gt;"OK",R11,IF(S11&lt;&gt;"OK",S11,"OK")))))))))</f>
        <v/>
      </c>
    </row>
    <row r="12">
      <c r="A12" s="12" t="inlineStr">
        <is>
          <t>AFF-006</t>
        </is>
      </c>
      <c r="B12" s="24" t="n">
        <v>46275</v>
      </c>
      <c r="C12" s="25" t="n">
        <v>0.3333333333333333</v>
      </c>
      <c r="D12" s="25" t="n">
        <v>0.5</v>
      </c>
      <c r="E12" s="15">
        <f>IF(OR(C12="",D12=""),"",IF(D12&gt;C12,(D12-C12)*24,""))</f>
        <v/>
      </c>
      <c r="F12" s="12" t="inlineStr">
        <is>
          <t>INT-002</t>
        </is>
      </c>
      <c r="G12" s="16">
        <f>IF(F12="","",IFERROR(_xlfn.XLOOKUP(F12,Intervenants!$A$2:$A$101,Intervenants!$B$2:$B$101),"ID inconnu"))</f>
        <v/>
      </c>
      <c r="H12" s="16">
        <f>IF(F12="","",IFERROR(_xlfn.XLOOKUP(F12,Intervenants!$A$2:$A$101,Intervenants!$C$2:$C$101),"ID inconnu"))</f>
        <v/>
      </c>
      <c r="I12" s="12" t="inlineStr">
        <is>
          <t>DEMO-A</t>
        </is>
      </c>
      <c r="J12" s="16">
        <f>IF(I12="","",IFERROR(_xlfn.XLOOKUP(I12,Chantiers_Zones!$B$2:$B$101,Chantiers_Zones!$C$2:$C$101),"CHANTIER INCONNU"))</f>
        <v/>
      </c>
      <c r="K12" s="12" t="inlineStr">
        <is>
          <t>Zone Sud</t>
        </is>
      </c>
      <c r="L12" s="12" t="inlineStr">
        <is>
          <t>Contrôle support</t>
        </is>
      </c>
      <c r="M12" s="8" t="inlineStr">
        <is>
          <t>Confirmée</t>
        </is>
      </c>
      <c r="N12" s="8" t="inlineStr">
        <is>
          <t>Basse</t>
        </is>
      </c>
      <c r="O12" s="17" t="inlineStr"/>
      <c r="P12" s="9">
        <f>IF(M12="Annulée","OK",IF(OR(B12="",C12="",D12="",F12=""),"",IF(COUNTIFS($F$7:$F$206,F12,$B$7:$B$206,B12,$C$7:$C$206,"&lt;"&amp;D12,$D$7:$D$206,"&gt;"&amp;C12,$M$7:$M$206,"&lt;&gt;Annulée")&gt;1,"DOUBLE RÉSERVATION","OK")))</f>
        <v/>
      </c>
      <c r="Q12" s="9">
        <f>IF(M12="Annulée","OK",IF(OR(B12="",C12="",D12="",F12=""),"",IF(SUMPRODUCT((Indisponibilités!$A$2:$A$101=F12)*((Indisponibilités!$B$2:$B$101+Indisponibilités!$C$2:$C$101)&lt;(B12+D12))*((Indisponibilités!$D$2:$D$101+Indisponibilités!$E$2:$E$101)&gt;(B12+C12)))&gt;0,"INDISPONIBLE","OK")))</f>
        <v/>
      </c>
      <c r="R12" s="9">
        <f>IF(OR(I12="",K12=""),"",IF(COUNTIFS(Chantiers_Zones!$B$2:$B$101,I12,Chantiers_Zones!$D$2:$D$101,K12,Chantiers_Zones!$E$2:$E$101,"Oui")&gt;0,"OK","ZONE INVALIDE"))</f>
        <v/>
      </c>
      <c r="S12" s="9">
        <f>IF(OR(B12="",I12=""),"",IFERROR(IF(AND(B12&gt;=_xlfn.XLOOKUP(I12,Chantiers_Zones!$B$2:$B$101,Chantiers_Zones!$F$2:$F$101),B12&lt;=_xlfn.XLOOKUP(I12,Chantiers_Zones!$B$2:$B$101,Chantiers_Zones!$G$2:$G$101)),"OK","HORS PÉRIODE"),"CHANTIER INCONNU"))</f>
        <v/>
      </c>
      <c r="T12" s="9">
        <f>IF(COUNTA(A12:D12,F12,I12,K12:O12)=0,"",IF(M12="Annulée","OK",IF(OR(A12="",B12="",C12="",D12="",F12="",I12="",K12="",L12="",M12=""),"INCOMPLET",IF(D12&lt;=C12,"HORAIRES INVALIDES",IF(OR(C12&lt;Paramètres!$B$3,D12&gt;Paramètres!$B$4),"HORS PLAGE",IF(P12&lt;&gt;"OK",P12,IF(Q12&lt;&gt;"OK",Q12,IF(R12&lt;&gt;"OK",R12,IF(S12&lt;&gt;"OK",S12,"OK")))))))))</f>
        <v/>
      </c>
    </row>
    <row r="13">
      <c r="A13" s="12" t="inlineStr">
        <is>
          <t>AFF-007</t>
        </is>
      </c>
      <c r="B13" s="24" t="n">
        <v>46275</v>
      </c>
      <c r="C13" s="25" t="n">
        <v>0.5416666666666666</v>
      </c>
      <c r="D13" s="25" t="n">
        <v>0.6666666666666666</v>
      </c>
      <c r="E13" s="15">
        <f>IF(OR(C13="",D13=""),"",IF(D13&gt;C13,(D13-C13)*24,""))</f>
        <v/>
      </c>
      <c r="F13" s="12" t="inlineStr">
        <is>
          <t>INT-003</t>
        </is>
      </c>
      <c r="G13" s="16">
        <f>IF(F13="","",IFERROR(_xlfn.XLOOKUP(F13,Intervenants!$A$2:$A$101,Intervenants!$B$2:$B$101),"ID inconnu"))</f>
        <v/>
      </c>
      <c r="H13" s="16">
        <f>IF(F13="","",IFERROR(_xlfn.XLOOKUP(F13,Intervenants!$A$2:$A$101,Intervenants!$C$2:$C$101),"ID inconnu"))</f>
        <v/>
      </c>
      <c r="I13" s="12" t="inlineStr">
        <is>
          <t>DEMO-B</t>
        </is>
      </c>
      <c r="J13" s="16">
        <f>IF(I13="","",IFERROR(_xlfn.XLOOKUP(I13,Chantiers_Zones!$B$2:$B$101,Chantiers_Zones!$C$2:$C$101),"CHANTIER INCONNU"))</f>
        <v/>
      </c>
      <c r="K13" s="12" t="inlineStr">
        <is>
          <t>Niveau 2</t>
        </is>
      </c>
      <c r="L13" s="12" t="inlineStr">
        <is>
          <t>Finitions fictives</t>
        </is>
      </c>
      <c r="M13" s="8" t="inlineStr">
        <is>
          <t>Annulée</t>
        </is>
      </c>
      <c r="N13" s="8" t="inlineStr">
        <is>
          <t>Normale</t>
        </is>
      </c>
      <c r="O13" s="17" t="inlineStr">
        <is>
          <t>Ligne annulée</t>
        </is>
      </c>
      <c r="P13" s="9">
        <f>IF(M13="Annulée","OK",IF(OR(B13="",C13="",D13="",F13=""),"",IF(COUNTIFS($F$7:$F$206,F13,$B$7:$B$206,B13,$C$7:$C$206,"&lt;"&amp;D13,$D$7:$D$206,"&gt;"&amp;C13,$M$7:$M$206,"&lt;&gt;Annulée")&gt;1,"DOUBLE RÉSERVATION","OK")))</f>
        <v/>
      </c>
      <c r="Q13" s="9">
        <f>IF(M13="Annulée","OK",IF(OR(B13="",C13="",D13="",F13=""),"",IF(SUMPRODUCT((Indisponibilités!$A$2:$A$101=F13)*((Indisponibilités!$B$2:$B$101+Indisponibilités!$C$2:$C$101)&lt;(B13+D13))*((Indisponibilités!$D$2:$D$101+Indisponibilités!$E$2:$E$101)&gt;(B13+C13)))&gt;0,"INDISPONIBLE","OK")))</f>
        <v/>
      </c>
      <c r="R13" s="9">
        <f>IF(OR(I13="",K13=""),"",IF(COUNTIFS(Chantiers_Zones!$B$2:$B$101,I13,Chantiers_Zones!$D$2:$D$101,K13,Chantiers_Zones!$E$2:$E$101,"Oui")&gt;0,"OK","ZONE INVALIDE"))</f>
        <v/>
      </c>
      <c r="S13" s="9">
        <f>IF(OR(B13="",I13=""),"",IFERROR(IF(AND(B13&gt;=_xlfn.XLOOKUP(I13,Chantiers_Zones!$B$2:$B$101,Chantiers_Zones!$F$2:$F$101),B13&lt;=_xlfn.XLOOKUP(I13,Chantiers_Zones!$B$2:$B$101,Chantiers_Zones!$G$2:$G$101)),"OK","HORS PÉRIODE"),"CHANTIER INCONNU"))</f>
        <v/>
      </c>
      <c r="T13" s="9">
        <f>IF(COUNTA(A13:D13,F13,I13,K13:O13)=0,"",IF(M13="Annulée","OK",IF(OR(A13="",B13="",C13="",D13="",F13="",I13="",K13="",L13="",M13=""),"INCOMPLET",IF(D13&lt;=C13,"HORAIRES INVALIDES",IF(OR(C13&lt;Paramètres!$B$3,D13&gt;Paramètres!$B$4),"HORS PLAGE",IF(P13&lt;&gt;"OK",P13,IF(Q13&lt;&gt;"OK",Q13,IF(R13&lt;&gt;"OK",R13,IF(S13&lt;&gt;"OK",S13,"OK")))))))))</f>
        <v/>
      </c>
    </row>
    <row r="14">
      <c r="A14" s="12" t="inlineStr">
        <is>
          <t>AFF-008</t>
        </is>
      </c>
      <c r="B14" s="24" t="n">
        <v>46275</v>
      </c>
      <c r="C14" s="25" t="n">
        <v>0.375</v>
      </c>
      <c r="D14" s="25" t="n">
        <v>0.4583333333333333</v>
      </c>
      <c r="E14" s="15">
        <f>IF(OR(C14="",D14=""),"",IF(D14&gt;C14,(D14-C14)*24,""))</f>
        <v/>
      </c>
      <c r="F14" s="12" t="inlineStr">
        <is>
          <t>INT-001</t>
        </is>
      </c>
      <c r="G14" s="16">
        <f>IF(F14="","",IFERROR(_xlfn.XLOOKUP(F14,Intervenants!$A$2:$A$101,Intervenants!$B$2:$B$101),"ID inconnu"))</f>
        <v/>
      </c>
      <c r="H14" s="16">
        <f>IF(F14="","",IFERROR(_xlfn.XLOOKUP(F14,Intervenants!$A$2:$A$101,Intervenants!$C$2:$C$101),"ID inconnu"))</f>
        <v/>
      </c>
      <c r="I14" s="12" t="inlineStr">
        <is>
          <t>DEMO-A</t>
        </is>
      </c>
      <c r="J14" s="16">
        <f>IF(I14="","",IFERROR(_xlfn.XLOOKUP(I14,Chantiers_Zones!$B$2:$B$101,Chantiers_Zones!$C$2:$C$101),"CHANTIER INCONNU"))</f>
        <v/>
      </c>
      <c r="K14" s="12" t="inlineStr">
        <is>
          <t>Zone Fantôme</t>
        </is>
      </c>
      <c r="L14" s="12" t="inlineStr">
        <is>
          <t>Vérification zone</t>
        </is>
      </c>
      <c r="M14" s="8" t="inlineStr">
        <is>
          <t>Prévue</t>
        </is>
      </c>
      <c r="N14" s="8" t="inlineStr">
        <is>
          <t>Haute</t>
        </is>
      </c>
      <c r="O14" s="17" t="inlineStr">
        <is>
          <t>Zone inexistante de démonstration</t>
        </is>
      </c>
      <c r="P14" s="9">
        <f>IF(M14="Annulée","OK",IF(OR(B14="",C14="",D14="",F14=""),"",IF(COUNTIFS($F$7:$F$206,F14,$B$7:$B$206,B14,$C$7:$C$206,"&lt;"&amp;D14,$D$7:$D$206,"&gt;"&amp;C14,$M$7:$M$206,"&lt;&gt;Annulée")&gt;1,"DOUBLE RÉSERVATION","OK")))</f>
        <v/>
      </c>
      <c r="Q14" s="9">
        <f>IF(M14="Annulée","OK",IF(OR(B14="",C14="",D14="",F14=""),"",IF(SUMPRODUCT((Indisponibilités!$A$2:$A$101=F14)*((Indisponibilités!$B$2:$B$101+Indisponibilités!$C$2:$C$101)&lt;(B14+D14))*((Indisponibilités!$D$2:$D$101+Indisponibilités!$E$2:$E$101)&gt;(B14+C14)))&gt;0,"INDISPONIBLE","OK")))</f>
        <v/>
      </c>
      <c r="R14" s="9">
        <f>IF(OR(I14="",K14=""),"",IF(COUNTIFS(Chantiers_Zones!$B$2:$B$101,I14,Chantiers_Zones!$D$2:$D$101,K14,Chantiers_Zones!$E$2:$E$101,"Oui")&gt;0,"OK","ZONE INVALIDE"))</f>
        <v/>
      </c>
      <c r="S14" s="9">
        <f>IF(OR(B14="",I14=""),"",IFERROR(IF(AND(B14&gt;=_xlfn.XLOOKUP(I14,Chantiers_Zones!$B$2:$B$101,Chantiers_Zones!$F$2:$F$101),B14&lt;=_xlfn.XLOOKUP(I14,Chantiers_Zones!$B$2:$B$101,Chantiers_Zones!$G$2:$G$101)),"OK","HORS PÉRIODE"),"CHANTIER INCONNU"))</f>
        <v/>
      </c>
      <c r="T14" s="9">
        <f>IF(COUNTA(A14:D14,F14,I14,K14:O14)=0,"",IF(M14="Annulée","OK",IF(OR(A14="",B14="",C14="",D14="",F14="",I14="",K14="",L14="",M14=""),"INCOMPLET",IF(D14&lt;=C14,"HORAIRES INVALIDES",IF(OR(C14&lt;Paramètres!$B$3,D14&gt;Paramètres!$B$4),"HORS PLAGE",IF(P14&lt;&gt;"OK",P14,IF(Q14&lt;&gt;"OK",Q14,IF(R14&lt;&gt;"OK",R14,IF(S14&lt;&gt;"OK",S14,"OK")))))))))</f>
        <v/>
      </c>
    </row>
    <row r="15">
      <c r="A15" s="12" t="inlineStr">
        <is>
          <t>AFF-009</t>
        </is>
      </c>
      <c r="B15" s="24" t="n">
        <v>46276</v>
      </c>
      <c r="C15" s="25" t="n">
        <v>0.5833333333333334</v>
      </c>
      <c r="D15" s="25" t="n">
        <v>0.5</v>
      </c>
      <c r="E15" s="15">
        <f>IF(OR(C15="",D15=""),"",IF(D15&gt;C15,(D15-C15)*24,""))</f>
        <v/>
      </c>
      <c r="F15" s="12" t="inlineStr">
        <is>
          <t>INT-002</t>
        </is>
      </c>
      <c r="G15" s="16">
        <f>IF(F15="","",IFERROR(_xlfn.XLOOKUP(F15,Intervenants!$A$2:$A$101,Intervenants!$B$2:$B$101),"ID inconnu"))</f>
        <v/>
      </c>
      <c r="H15" s="16">
        <f>IF(F15="","",IFERROR(_xlfn.XLOOKUP(F15,Intervenants!$A$2:$A$101,Intervenants!$C$2:$C$101),"ID inconnu"))</f>
        <v/>
      </c>
      <c r="I15" s="12" t="inlineStr">
        <is>
          <t>DEMO-B</t>
        </is>
      </c>
      <c r="J15" s="16">
        <f>IF(I15="","",IFERROR(_xlfn.XLOOKUP(I15,Chantiers_Zones!$B$2:$B$101,Chantiers_Zones!$C$2:$C$101),"CHANTIER INCONNU"))</f>
        <v/>
      </c>
      <c r="K15" s="12" t="inlineStr">
        <is>
          <t>Niveau 1</t>
        </is>
      </c>
      <c r="L15" s="12" t="inlineStr">
        <is>
          <t>Essai horaire</t>
        </is>
      </c>
      <c r="M15" s="8" t="inlineStr">
        <is>
          <t>Prévue</t>
        </is>
      </c>
      <c r="N15" s="8" t="inlineStr">
        <is>
          <t>Normale</t>
        </is>
      </c>
      <c r="O15" s="17" t="inlineStr">
        <is>
          <t>Fin antérieure au début</t>
        </is>
      </c>
      <c r="P15" s="9">
        <f>IF(M15="Annulée","OK",IF(OR(B15="",C15="",D15="",F15=""),"",IF(COUNTIFS($F$7:$F$206,F15,$B$7:$B$206,B15,$C$7:$C$206,"&lt;"&amp;D15,$D$7:$D$206,"&gt;"&amp;C15,$M$7:$M$206,"&lt;&gt;Annulée")&gt;1,"DOUBLE RÉSERVATION","OK")))</f>
        <v/>
      </c>
      <c r="Q15" s="9">
        <f>IF(M15="Annulée","OK",IF(OR(B15="",C15="",D15="",F15=""),"",IF(SUMPRODUCT((Indisponibilités!$A$2:$A$101=F15)*((Indisponibilités!$B$2:$B$101+Indisponibilités!$C$2:$C$101)&lt;(B15+D15))*((Indisponibilités!$D$2:$D$101+Indisponibilités!$E$2:$E$101)&gt;(B15+C15)))&gt;0,"INDISPONIBLE","OK")))</f>
        <v/>
      </c>
      <c r="R15" s="9">
        <f>IF(OR(I15="",K15=""),"",IF(COUNTIFS(Chantiers_Zones!$B$2:$B$101,I15,Chantiers_Zones!$D$2:$D$101,K15,Chantiers_Zones!$E$2:$E$101,"Oui")&gt;0,"OK","ZONE INVALIDE"))</f>
        <v/>
      </c>
      <c r="S15" s="9">
        <f>IF(OR(B15="",I15=""),"",IFERROR(IF(AND(B15&gt;=_xlfn.XLOOKUP(I15,Chantiers_Zones!$B$2:$B$101,Chantiers_Zones!$F$2:$F$101),B15&lt;=_xlfn.XLOOKUP(I15,Chantiers_Zones!$B$2:$B$101,Chantiers_Zones!$G$2:$G$101)),"OK","HORS PÉRIODE"),"CHANTIER INCONNU"))</f>
        <v/>
      </c>
      <c r="T15" s="9">
        <f>IF(COUNTA(A15:D15,F15,I15,K15:O15)=0,"",IF(M15="Annulée","OK",IF(OR(A15="",B15="",C15="",D15="",F15="",I15="",K15="",L15="",M15=""),"INCOMPLET",IF(D15&lt;=C15,"HORAIRES INVALIDES",IF(OR(C15&lt;Paramètres!$B$3,D15&gt;Paramètres!$B$4),"HORS PLAGE",IF(P15&lt;&gt;"OK",P15,IF(Q15&lt;&gt;"OK",Q15,IF(R15&lt;&gt;"OK",R15,IF(S15&lt;&gt;"OK",S15,"OK")))))))))</f>
        <v/>
      </c>
    </row>
    <row r="16">
      <c r="A16" s="12" t="inlineStr">
        <is>
          <t>AFF-010</t>
        </is>
      </c>
      <c r="B16" s="24" t="n">
        <v>46276</v>
      </c>
      <c r="C16" s="25" t="n">
        <v>0.2708333333333333</v>
      </c>
      <c r="D16" s="25" t="n">
        <v>0.3333333333333333</v>
      </c>
      <c r="E16" s="15">
        <f>IF(OR(C16="",D16=""),"",IF(D16&gt;C16,(D16-C16)*24,""))</f>
        <v/>
      </c>
      <c r="F16" s="12" t="inlineStr">
        <is>
          <t>INT-003</t>
        </is>
      </c>
      <c r="G16" s="16">
        <f>IF(F16="","",IFERROR(_xlfn.XLOOKUP(F16,Intervenants!$A$2:$A$101,Intervenants!$B$2:$B$101),"ID inconnu"))</f>
        <v/>
      </c>
      <c r="H16" s="16">
        <f>IF(F16="","",IFERROR(_xlfn.XLOOKUP(F16,Intervenants!$A$2:$A$101,Intervenants!$C$2:$C$101),"ID inconnu"))</f>
        <v/>
      </c>
      <c r="I16" s="12" t="inlineStr">
        <is>
          <t>DEMO-A</t>
        </is>
      </c>
      <c r="J16" s="16">
        <f>IF(I16="","",IFERROR(_xlfn.XLOOKUP(I16,Chantiers_Zones!$B$2:$B$101,Chantiers_Zones!$C$2:$C$101),"CHANTIER INCONNU"))</f>
        <v/>
      </c>
      <c r="K16" s="12" t="inlineStr">
        <is>
          <t>Zone Nord</t>
        </is>
      </c>
      <c r="L16" s="12" t="inlineStr">
        <is>
          <t>Ouverture fictive</t>
        </is>
      </c>
      <c r="M16" s="8" t="inlineStr">
        <is>
          <t>Confirmée</t>
        </is>
      </c>
      <c r="N16" s="8" t="inlineStr">
        <is>
          <t>Basse</t>
        </is>
      </c>
      <c r="O16" s="17" t="inlineStr">
        <is>
          <t>Début hors plage</t>
        </is>
      </c>
      <c r="P16" s="9">
        <f>IF(M16="Annulée","OK",IF(OR(B16="",C16="",D16="",F16=""),"",IF(COUNTIFS($F$7:$F$206,F16,$B$7:$B$206,B16,$C$7:$C$206,"&lt;"&amp;D16,$D$7:$D$206,"&gt;"&amp;C16,$M$7:$M$206,"&lt;&gt;Annulée")&gt;1,"DOUBLE RÉSERVATION","OK")))</f>
        <v/>
      </c>
      <c r="Q16" s="9">
        <f>IF(M16="Annulée","OK",IF(OR(B16="",C16="",D16="",F16=""),"",IF(SUMPRODUCT((Indisponibilités!$A$2:$A$101=F16)*((Indisponibilités!$B$2:$B$101+Indisponibilités!$C$2:$C$101)&lt;(B16+D16))*((Indisponibilités!$D$2:$D$101+Indisponibilités!$E$2:$E$101)&gt;(B16+C16)))&gt;0,"INDISPONIBLE","OK")))</f>
        <v/>
      </c>
      <c r="R16" s="9">
        <f>IF(OR(I16="",K16=""),"",IF(COUNTIFS(Chantiers_Zones!$B$2:$B$101,I16,Chantiers_Zones!$D$2:$D$101,K16,Chantiers_Zones!$E$2:$E$101,"Oui")&gt;0,"OK","ZONE INVALIDE"))</f>
        <v/>
      </c>
      <c r="S16" s="9">
        <f>IF(OR(B16="",I16=""),"",IFERROR(IF(AND(B16&gt;=_xlfn.XLOOKUP(I16,Chantiers_Zones!$B$2:$B$101,Chantiers_Zones!$F$2:$F$101),B16&lt;=_xlfn.XLOOKUP(I16,Chantiers_Zones!$B$2:$B$101,Chantiers_Zones!$G$2:$G$101)),"OK","HORS PÉRIODE"),"CHANTIER INCONNU"))</f>
        <v/>
      </c>
      <c r="T16" s="9">
        <f>IF(COUNTA(A16:D16,F16,I16,K16:O16)=0,"",IF(M16="Annulée","OK",IF(OR(A16="",B16="",C16="",D16="",F16="",I16="",K16="",L16="",M16=""),"INCOMPLET",IF(D16&lt;=C16,"HORAIRES INVALIDES",IF(OR(C16&lt;Paramètres!$B$3,D16&gt;Paramètres!$B$4),"HORS PLAGE",IF(P16&lt;&gt;"OK",P16,IF(Q16&lt;&gt;"OK",Q16,IF(R16&lt;&gt;"OK",R16,IF(S16&lt;&gt;"OK",S16,"OK")))))))))</f>
        <v/>
      </c>
    </row>
    <row r="17">
      <c r="A17" s="12" t="n"/>
      <c r="B17" s="24" t="n"/>
      <c r="C17" s="25" t="n"/>
      <c r="D17" s="25" t="n"/>
      <c r="E17" s="15">
        <f>IF(OR(C17="",D17=""),"",IF(D17&gt;C17,(D17-C17)*24,""))</f>
        <v/>
      </c>
      <c r="F17" s="12" t="n"/>
      <c r="G17" s="16">
        <f>IF(F17="","",IFERROR(_xlfn.XLOOKUP(F17,Intervenants!$A$2:$A$101,Intervenants!$B$2:$B$101),"ID inconnu"))</f>
        <v/>
      </c>
      <c r="H17" s="16">
        <f>IF(F17="","",IFERROR(_xlfn.XLOOKUP(F17,Intervenants!$A$2:$A$101,Intervenants!$C$2:$C$101),"ID inconnu"))</f>
        <v/>
      </c>
      <c r="I17" s="12" t="n"/>
      <c r="J17" s="16">
        <f>IF(I17="","",IFERROR(_xlfn.XLOOKUP(I17,Chantiers_Zones!$B$2:$B$101,Chantiers_Zones!$C$2:$C$101),"CHANTIER INCONNU"))</f>
        <v/>
      </c>
      <c r="K17" s="12" t="n"/>
      <c r="L17" s="12" t="n"/>
      <c r="M17" s="8" t="n"/>
      <c r="N17" s="8" t="n"/>
      <c r="O17" s="17" t="n"/>
      <c r="P17" s="9">
        <f>IF(M17="Annulée","OK",IF(OR(B17="",C17="",D17="",F17=""),"",IF(COUNTIFS($F$7:$F$206,F17,$B$7:$B$206,B17,$C$7:$C$206,"&lt;"&amp;D17,$D$7:$D$206,"&gt;"&amp;C17,$M$7:$M$206,"&lt;&gt;Annulée")&gt;1,"DOUBLE RÉSERVATION","OK")))</f>
        <v/>
      </c>
      <c r="Q17" s="9">
        <f>IF(M17="Annulée","OK",IF(OR(B17="",C17="",D17="",F17=""),"",IF(SUMPRODUCT((Indisponibilités!$A$2:$A$101=F17)*((Indisponibilités!$B$2:$B$101+Indisponibilités!$C$2:$C$101)&lt;(B17+D17))*((Indisponibilités!$D$2:$D$101+Indisponibilités!$E$2:$E$101)&gt;(B17+C17)))&gt;0,"INDISPONIBLE","OK")))</f>
        <v/>
      </c>
      <c r="R17" s="9">
        <f>IF(OR(I17="",K17=""),"",IF(COUNTIFS(Chantiers_Zones!$B$2:$B$101,I17,Chantiers_Zones!$D$2:$D$101,K17,Chantiers_Zones!$E$2:$E$101,"Oui")&gt;0,"OK","ZONE INVALIDE"))</f>
        <v/>
      </c>
      <c r="S17" s="9">
        <f>IF(OR(B17="",I17=""),"",IFERROR(IF(AND(B17&gt;=_xlfn.XLOOKUP(I17,Chantiers_Zones!$B$2:$B$101,Chantiers_Zones!$F$2:$F$101),B17&lt;=_xlfn.XLOOKUP(I17,Chantiers_Zones!$B$2:$B$101,Chantiers_Zones!$G$2:$G$101)),"OK","HORS PÉRIODE"),"CHANTIER INCONNU"))</f>
        <v/>
      </c>
      <c r="T17" s="9">
        <f>IF(COUNTA(A17:D17,F17,I17,K17:O17)=0,"",IF(M17="Annulée","OK",IF(OR(A17="",B17="",C17="",D17="",F17="",I17="",K17="",L17="",M17=""),"INCOMPLET",IF(D17&lt;=C17,"HORAIRES INVALIDES",IF(OR(C17&lt;Paramètres!$B$3,D17&gt;Paramètres!$B$4),"HORS PLAGE",IF(P17&lt;&gt;"OK",P17,IF(Q17&lt;&gt;"OK",Q17,IF(R17&lt;&gt;"OK",R17,IF(S17&lt;&gt;"OK",S17,"OK")))))))))</f>
        <v/>
      </c>
    </row>
    <row r="18">
      <c r="A18" s="12" t="n"/>
      <c r="B18" s="24" t="n"/>
      <c r="C18" s="25" t="n"/>
      <c r="D18" s="25" t="n"/>
      <c r="E18" s="15">
        <f>IF(OR(C18="",D18=""),"",IF(D18&gt;C18,(D18-C18)*24,""))</f>
        <v/>
      </c>
      <c r="F18" s="12" t="n"/>
      <c r="G18" s="16">
        <f>IF(F18="","",IFERROR(_xlfn.XLOOKUP(F18,Intervenants!$A$2:$A$101,Intervenants!$B$2:$B$101),"ID inconnu"))</f>
        <v/>
      </c>
      <c r="H18" s="16">
        <f>IF(F18="","",IFERROR(_xlfn.XLOOKUP(F18,Intervenants!$A$2:$A$101,Intervenants!$C$2:$C$101),"ID inconnu"))</f>
        <v/>
      </c>
      <c r="I18" s="12" t="n"/>
      <c r="J18" s="16">
        <f>IF(I18="","",IFERROR(_xlfn.XLOOKUP(I18,Chantiers_Zones!$B$2:$B$101,Chantiers_Zones!$C$2:$C$101),"CHANTIER INCONNU"))</f>
        <v/>
      </c>
      <c r="K18" s="12" t="n"/>
      <c r="L18" s="12" t="n"/>
      <c r="M18" s="8" t="n"/>
      <c r="N18" s="8" t="n"/>
      <c r="O18" s="17" t="n"/>
      <c r="P18" s="9">
        <f>IF(M18="Annulée","OK",IF(OR(B18="",C18="",D18="",F18=""),"",IF(COUNTIFS($F$7:$F$206,F18,$B$7:$B$206,B18,$C$7:$C$206,"&lt;"&amp;D18,$D$7:$D$206,"&gt;"&amp;C18,$M$7:$M$206,"&lt;&gt;Annulée")&gt;1,"DOUBLE RÉSERVATION","OK")))</f>
        <v/>
      </c>
      <c r="Q18" s="9">
        <f>IF(M18="Annulée","OK",IF(OR(B18="",C18="",D18="",F18=""),"",IF(SUMPRODUCT((Indisponibilités!$A$2:$A$101=F18)*((Indisponibilités!$B$2:$B$101+Indisponibilités!$C$2:$C$101)&lt;(B18+D18))*((Indisponibilités!$D$2:$D$101+Indisponibilités!$E$2:$E$101)&gt;(B18+C18)))&gt;0,"INDISPONIBLE","OK")))</f>
        <v/>
      </c>
      <c r="R18" s="9">
        <f>IF(OR(I18="",K18=""),"",IF(COUNTIFS(Chantiers_Zones!$B$2:$B$101,I18,Chantiers_Zones!$D$2:$D$101,K18,Chantiers_Zones!$E$2:$E$101,"Oui")&gt;0,"OK","ZONE INVALIDE"))</f>
        <v/>
      </c>
      <c r="S18" s="9">
        <f>IF(OR(B18="",I18=""),"",IFERROR(IF(AND(B18&gt;=_xlfn.XLOOKUP(I18,Chantiers_Zones!$B$2:$B$101,Chantiers_Zones!$F$2:$F$101),B18&lt;=_xlfn.XLOOKUP(I18,Chantiers_Zones!$B$2:$B$101,Chantiers_Zones!$G$2:$G$101)),"OK","HORS PÉRIODE"),"CHANTIER INCONNU"))</f>
        <v/>
      </c>
      <c r="T18" s="9">
        <f>IF(COUNTA(A18:D18,F18,I18,K18:O18)=0,"",IF(M18="Annulée","OK",IF(OR(A18="",B18="",C18="",D18="",F18="",I18="",K18="",L18="",M18=""),"INCOMPLET",IF(D18&lt;=C18,"HORAIRES INVALIDES",IF(OR(C18&lt;Paramètres!$B$3,D18&gt;Paramètres!$B$4),"HORS PLAGE",IF(P18&lt;&gt;"OK",P18,IF(Q18&lt;&gt;"OK",Q18,IF(R18&lt;&gt;"OK",R18,IF(S18&lt;&gt;"OK",S18,"OK")))))))))</f>
        <v/>
      </c>
    </row>
    <row r="19">
      <c r="A19" s="12" t="n"/>
      <c r="B19" s="24" t="n"/>
      <c r="C19" s="25" t="n"/>
      <c r="D19" s="25" t="n"/>
      <c r="E19" s="15">
        <f>IF(OR(C19="",D19=""),"",IF(D19&gt;C19,(D19-C19)*24,""))</f>
        <v/>
      </c>
      <c r="F19" s="12" t="n"/>
      <c r="G19" s="16">
        <f>IF(F19="","",IFERROR(_xlfn.XLOOKUP(F19,Intervenants!$A$2:$A$101,Intervenants!$B$2:$B$101),"ID inconnu"))</f>
        <v/>
      </c>
      <c r="H19" s="16">
        <f>IF(F19="","",IFERROR(_xlfn.XLOOKUP(F19,Intervenants!$A$2:$A$101,Intervenants!$C$2:$C$101),"ID inconnu"))</f>
        <v/>
      </c>
      <c r="I19" s="12" t="n"/>
      <c r="J19" s="16">
        <f>IF(I19="","",IFERROR(_xlfn.XLOOKUP(I19,Chantiers_Zones!$B$2:$B$101,Chantiers_Zones!$C$2:$C$101),"CHANTIER INCONNU"))</f>
        <v/>
      </c>
      <c r="K19" s="12" t="n"/>
      <c r="L19" s="12" t="n"/>
      <c r="M19" s="8" t="n"/>
      <c r="N19" s="8" t="n"/>
      <c r="O19" s="17" t="n"/>
      <c r="P19" s="9">
        <f>IF(M19="Annulée","OK",IF(OR(B19="",C19="",D19="",F19=""),"",IF(COUNTIFS($F$7:$F$206,F19,$B$7:$B$206,B19,$C$7:$C$206,"&lt;"&amp;D19,$D$7:$D$206,"&gt;"&amp;C19,$M$7:$M$206,"&lt;&gt;Annulée")&gt;1,"DOUBLE RÉSERVATION","OK")))</f>
        <v/>
      </c>
      <c r="Q19" s="9">
        <f>IF(M19="Annulée","OK",IF(OR(B19="",C19="",D19="",F19=""),"",IF(SUMPRODUCT((Indisponibilités!$A$2:$A$101=F19)*((Indisponibilités!$B$2:$B$101+Indisponibilités!$C$2:$C$101)&lt;(B19+D19))*((Indisponibilités!$D$2:$D$101+Indisponibilités!$E$2:$E$101)&gt;(B19+C19)))&gt;0,"INDISPONIBLE","OK")))</f>
        <v/>
      </c>
      <c r="R19" s="9">
        <f>IF(OR(I19="",K19=""),"",IF(COUNTIFS(Chantiers_Zones!$B$2:$B$101,I19,Chantiers_Zones!$D$2:$D$101,K19,Chantiers_Zones!$E$2:$E$101,"Oui")&gt;0,"OK","ZONE INVALIDE"))</f>
        <v/>
      </c>
      <c r="S19" s="9">
        <f>IF(OR(B19="",I19=""),"",IFERROR(IF(AND(B19&gt;=_xlfn.XLOOKUP(I19,Chantiers_Zones!$B$2:$B$101,Chantiers_Zones!$F$2:$F$101),B19&lt;=_xlfn.XLOOKUP(I19,Chantiers_Zones!$B$2:$B$101,Chantiers_Zones!$G$2:$G$101)),"OK","HORS PÉRIODE"),"CHANTIER INCONNU"))</f>
        <v/>
      </c>
      <c r="T19" s="9">
        <f>IF(COUNTA(A19:D19,F19,I19,K19:O19)=0,"",IF(M19="Annulée","OK",IF(OR(A19="",B19="",C19="",D19="",F19="",I19="",K19="",L19="",M19=""),"INCOMPLET",IF(D19&lt;=C19,"HORAIRES INVALIDES",IF(OR(C19&lt;Paramètres!$B$3,D19&gt;Paramètres!$B$4),"HORS PLAGE",IF(P19&lt;&gt;"OK",P19,IF(Q19&lt;&gt;"OK",Q19,IF(R19&lt;&gt;"OK",R19,IF(S19&lt;&gt;"OK",S19,"OK")))))))))</f>
        <v/>
      </c>
    </row>
    <row r="20">
      <c r="A20" s="12" t="n"/>
      <c r="B20" s="24" t="n"/>
      <c r="C20" s="25" t="n"/>
      <c r="D20" s="25" t="n"/>
      <c r="E20" s="15">
        <f>IF(OR(C20="",D20=""),"",IF(D20&gt;C20,(D20-C20)*24,""))</f>
        <v/>
      </c>
      <c r="F20" s="12" t="n"/>
      <c r="G20" s="16">
        <f>IF(F20="","",IFERROR(_xlfn.XLOOKUP(F20,Intervenants!$A$2:$A$101,Intervenants!$B$2:$B$101),"ID inconnu"))</f>
        <v/>
      </c>
      <c r="H20" s="16">
        <f>IF(F20="","",IFERROR(_xlfn.XLOOKUP(F20,Intervenants!$A$2:$A$101,Intervenants!$C$2:$C$101),"ID inconnu"))</f>
        <v/>
      </c>
      <c r="I20" s="12" t="n"/>
      <c r="J20" s="16">
        <f>IF(I20="","",IFERROR(_xlfn.XLOOKUP(I20,Chantiers_Zones!$B$2:$B$101,Chantiers_Zones!$C$2:$C$101),"CHANTIER INCONNU"))</f>
        <v/>
      </c>
      <c r="K20" s="12" t="n"/>
      <c r="L20" s="12" t="n"/>
      <c r="M20" s="8" t="n"/>
      <c r="N20" s="8" t="n"/>
      <c r="O20" s="17" t="n"/>
      <c r="P20" s="9">
        <f>IF(M20="Annulée","OK",IF(OR(B20="",C20="",D20="",F20=""),"",IF(COUNTIFS($F$7:$F$206,F20,$B$7:$B$206,B20,$C$7:$C$206,"&lt;"&amp;D20,$D$7:$D$206,"&gt;"&amp;C20,$M$7:$M$206,"&lt;&gt;Annulée")&gt;1,"DOUBLE RÉSERVATION","OK")))</f>
        <v/>
      </c>
      <c r="Q20" s="9">
        <f>IF(M20="Annulée","OK",IF(OR(B20="",C20="",D20="",F20=""),"",IF(SUMPRODUCT((Indisponibilités!$A$2:$A$101=F20)*((Indisponibilités!$B$2:$B$101+Indisponibilités!$C$2:$C$101)&lt;(B20+D20))*((Indisponibilités!$D$2:$D$101+Indisponibilités!$E$2:$E$101)&gt;(B20+C20)))&gt;0,"INDISPONIBLE","OK")))</f>
        <v/>
      </c>
      <c r="R20" s="9">
        <f>IF(OR(I20="",K20=""),"",IF(COUNTIFS(Chantiers_Zones!$B$2:$B$101,I20,Chantiers_Zones!$D$2:$D$101,K20,Chantiers_Zones!$E$2:$E$101,"Oui")&gt;0,"OK","ZONE INVALIDE"))</f>
        <v/>
      </c>
      <c r="S20" s="9">
        <f>IF(OR(B20="",I20=""),"",IFERROR(IF(AND(B20&gt;=_xlfn.XLOOKUP(I20,Chantiers_Zones!$B$2:$B$101,Chantiers_Zones!$F$2:$F$101),B20&lt;=_xlfn.XLOOKUP(I20,Chantiers_Zones!$B$2:$B$101,Chantiers_Zones!$G$2:$G$101)),"OK","HORS PÉRIODE"),"CHANTIER INCONNU"))</f>
        <v/>
      </c>
      <c r="T20" s="9">
        <f>IF(COUNTA(A20:D20,F20,I20,K20:O20)=0,"",IF(M20="Annulée","OK",IF(OR(A20="",B20="",C20="",D20="",F20="",I20="",K20="",L20="",M20=""),"INCOMPLET",IF(D20&lt;=C20,"HORAIRES INVALIDES",IF(OR(C20&lt;Paramètres!$B$3,D20&gt;Paramètres!$B$4),"HORS PLAGE",IF(P20&lt;&gt;"OK",P20,IF(Q20&lt;&gt;"OK",Q20,IF(R20&lt;&gt;"OK",R20,IF(S20&lt;&gt;"OK",S20,"OK")))))))))</f>
        <v/>
      </c>
    </row>
    <row r="21">
      <c r="A21" s="12" t="n"/>
      <c r="B21" s="24" t="n"/>
      <c r="C21" s="25" t="n"/>
      <c r="D21" s="25" t="n"/>
      <c r="E21" s="15">
        <f>IF(OR(C21="",D21=""),"",IF(D21&gt;C21,(D21-C21)*24,""))</f>
        <v/>
      </c>
      <c r="F21" s="12" t="n"/>
      <c r="G21" s="16">
        <f>IF(F21="","",IFERROR(_xlfn.XLOOKUP(F21,Intervenants!$A$2:$A$101,Intervenants!$B$2:$B$101),"ID inconnu"))</f>
        <v/>
      </c>
      <c r="H21" s="16">
        <f>IF(F21="","",IFERROR(_xlfn.XLOOKUP(F21,Intervenants!$A$2:$A$101,Intervenants!$C$2:$C$101),"ID inconnu"))</f>
        <v/>
      </c>
      <c r="I21" s="12" t="n"/>
      <c r="J21" s="16">
        <f>IF(I21="","",IFERROR(_xlfn.XLOOKUP(I21,Chantiers_Zones!$B$2:$B$101,Chantiers_Zones!$C$2:$C$101),"CHANTIER INCONNU"))</f>
        <v/>
      </c>
      <c r="K21" s="12" t="n"/>
      <c r="L21" s="12" t="n"/>
      <c r="M21" s="8" t="n"/>
      <c r="N21" s="8" t="n"/>
      <c r="O21" s="17" t="n"/>
      <c r="P21" s="9">
        <f>IF(M21="Annulée","OK",IF(OR(B21="",C21="",D21="",F21=""),"",IF(COUNTIFS($F$7:$F$206,F21,$B$7:$B$206,B21,$C$7:$C$206,"&lt;"&amp;D21,$D$7:$D$206,"&gt;"&amp;C21,$M$7:$M$206,"&lt;&gt;Annulée")&gt;1,"DOUBLE RÉSERVATION","OK")))</f>
        <v/>
      </c>
      <c r="Q21" s="9">
        <f>IF(M21="Annulée","OK",IF(OR(B21="",C21="",D21="",F21=""),"",IF(SUMPRODUCT((Indisponibilités!$A$2:$A$101=F21)*((Indisponibilités!$B$2:$B$101+Indisponibilités!$C$2:$C$101)&lt;(B21+D21))*((Indisponibilités!$D$2:$D$101+Indisponibilités!$E$2:$E$101)&gt;(B21+C21)))&gt;0,"INDISPONIBLE","OK")))</f>
        <v/>
      </c>
      <c r="R21" s="9">
        <f>IF(OR(I21="",K21=""),"",IF(COUNTIFS(Chantiers_Zones!$B$2:$B$101,I21,Chantiers_Zones!$D$2:$D$101,K21,Chantiers_Zones!$E$2:$E$101,"Oui")&gt;0,"OK","ZONE INVALIDE"))</f>
        <v/>
      </c>
      <c r="S21" s="9">
        <f>IF(OR(B21="",I21=""),"",IFERROR(IF(AND(B21&gt;=_xlfn.XLOOKUP(I21,Chantiers_Zones!$B$2:$B$101,Chantiers_Zones!$F$2:$F$101),B21&lt;=_xlfn.XLOOKUP(I21,Chantiers_Zones!$B$2:$B$101,Chantiers_Zones!$G$2:$G$101)),"OK","HORS PÉRIODE"),"CHANTIER INCONNU"))</f>
        <v/>
      </c>
      <c r="T21" s="9">
        <f>IF(COUNTA(A21:D21,F21,I21,K21:O21)=0,"",IF(M21="Annulée","OK",IF(OR(A21="",B21="",C21="",D21="",F21="",I21="",K21="",L21="",M21=""),"INCOMPLET",IF(D21&lt;=C21,"HORAIRES INVALIDES",IF(OR(C21&lt;Paramètres!$B$3,D21&gt;Paramètres!$B$4),"HORS PLAGE",IF(P21&lt;&gt;"OK",P21,IF(Q21&lt;&gt;"OK",Q21,IF(R21&lt;&gt;"OK",R21,IF(S21&lt;&gt;"OK",S21,"OK")))))))))</f>
        <v/>
      </c>
    </row>
    <row r="22">
      <c r="A22" s="12" t="n"/>
      <c r="B22" s="24" t="n"/>
      <c r="C22" s="25" t="n"/>
      <c r="D22" s="25" t="n"/>
      <c r="E22" s="15">
        <f>IF(OR(C22="",D22=""),"",IF(D22&gt;C22,(D22-C22)*24,""))</f>
        <v/>
      </c>
      <c r="F22" s="12" t="n"/>
      <c r="G22" s="16">
        <f>IF(F22="","",IFERROR(_xlfn.XLOOKUP(F22,Intervenants!$A$2:$A$101,Intervenants!$B$2:$B$101),"ID inconnu"))</f>
        <v/>
      </c>
      <c r="H22" s="16">
        <f>IF(F22="","",IFERROR(_xlfn.XLOOKUP(F22,Intervenants!$A$2:$A$101,Intervenants!$C$2:$C$101),"ID inconnu"))</f>
        <v/>
      </c>
      <c r="I22" s="12" t="n"/>
      <c r="J22" s="16">
        <f>IF(I22="","",IFERROR(_xlfn.XLOOKUP(I22,Chantiers_Zones!$B$2:$B$101,Chantiers_Zones!$C$2:$C$101),"CHANTIER INCONNU"))</f>
        <v/>
      </c>
      <c r="K22" s="12" t="n"/>
      <c r="L22" s="12" t="n"/>
      <c r="M22" s="8" t="n"/>
      <c r="N22" s="8" t="n"/>
      <c r="O22" s="17" t="n"/>
      <c r="P22" s="9">
        <f>IF(M22="Annulée","OK",IF(OR(B22="",C22="",D22="",F22=""),"",IF(COUNTIFS($F$7:$F$206,F22,$B$7:$B$206,B22,$C$7:$C$206,"&lt;"&amp;D22,$D$7:$D$206,"&gt;"&amp;C22,$M$7:$M$206,"&lt;&gt;Annulée")&gt;1,"DOUBLE RÉSERVATION","OK")))</f>
        <v/>
      </c>
      <c r="Q22" s="9">
        <f>IF(M22="Annulée","OK",IF(OR(B22="",C22="",D22="",F22=""),"",IF(SUMPRODUCT((Indisponibilités!$A$2:$A$101=F22)*((Indisponibilités!$B$2:$B$101+Indisponibilités!$C$2:$C$101)&lt;(B22+D22))*((Indisponibilités!$D$2:$D$101+Indisponibilités!$E$2:$E$101)&gt;(B22+C22)))&gt;0,"INDISPONIBLE","OK")))</f>
        <v/>
      </c>
      <c r="R22" s="9">
        <f>IF(OR(I22="",K22=""),"",IF(COUNTIFS(Chantiers_Zones!$B$2:$B$101,I22,Chantiers_Zones!$D$2:$D$101,K22,Chantiers_Zones!$E$2:$E$101,"Oui")&gt;0,"OK","ZONE INVALIDE"))</f>
        <v/>
      </c>
      <c r="S22" s="9">
        <f>IF(OR(B22="",I22=""),"",IFERROR(IF(AND(B22&gt;=_xlfn.XLOOKUP(I22,Chantiers_Zones!$B$2:$B$101,Chantiers_Zones!$F$2:$F$101),B22&lt;=_xlfn.XLOOKUP(I22,Chantiers_Zones!$B$2:$B$101,Chantiers_Zones!$G$2:$G$101)),"OK","HORS PÉRIODE"),"CHANTIER INCONNU"))</f>
        <v/>
      </c>
      <c r="T22" s="9">
        <f>IF(COUNTA(A22:D22,F22,I22,K22:O22)=0,"",IF(M22="Annulée","OK",IF(OR(A22="",B22="",C22="",D22="",F22="",I22="",K22="",L22="",M22=""),"INCOMPLET",IF(D22&lt;=C22,"HORAIRES INVALIDES",IF(OR(C22&lt;Paramètres!$B$3,D22&gt;Paramètres!$B$4),"HORS PLAGE",IF(P22&lt;&gt;"OK",P22,IF(Q22&lt;&gt;"OK",Q22,IF(R22&lt;&gt;"OK",R22,IF(S22&lt;&gt;"OK",S22,"OK")))))))))</f>
        <v/>
      </c>
    </row>
    <row r="23">
      <c r="A23" s="12" t="n"/>
      <c r="B23" s="24" t="n"/>
      <c r="C23" s="25" t="n"/>
      <c r="D23" s="25" t="n"/>
      <c r="E23" s="15">
        <f>IF(OR(C23="",D23=""),"",IF(D23&gt;C23,(D23-C23)*24,""))</f>
        <v/>
      </c>
      <c r="F23" s="12" t="n"/>
      <c r="G23" s="16">
        <f>IF(F23="","",IFERROR(_xlfn.XLOOKUP(F23,Intervenants!$A$2:$A$101,Intervenants!$B$2:$B$101),"ID inconnu"))</f>
        <v/>
      </c>
      <c r="H23" s="16">
        <f>IF(F23="","",IFERROR(_xlfn.XLOOKUP(F23,Intervenants!$A$2:$A$101,Intervenants!$C$2:$C$101),"ID inconnu"))</f>
        <v/>
      </c>
      <c r="I23" s="12" t="n"/>
      <c r="J23" s="16">
        <f>IF(I23="","",IFERROR(_xlfn.XLOOKUP(I23,Chantiers_Zones!$B$2:$B$101,Chantiers_Zones!$C$2:$C$101),"CHANTIER INCONNU"))</f>
        <v/>
      </c>
      <c r="K23" s="12" t="n"/>
      <c r="L23" s="12" t="n"/>
      <c r="M23" s="8" t="n"/>
      <c r="N23" s="8" t="n"/>
      <c r="O23" s="17" t="n"/>
      <c r="P23" s="9">
        <f>IF(M23="Annulée","OK",IF(OR(B23="",C23="",D23="",F23=""),"",IF(COUNTIFS($F$7:$F$206,F23,$B$7:$B$206,B23,$C$7:$C$206,"&lt;"&amp;D23,$D$7:$D$206,"&gt;"&amp;C23,$M$7:$M$206,"&lt;&gt;Annulée")&gt;1,"DOUBLE RÉSERVATION","OK")))</f>
        <v/>
      </c>
      <c r="Q23" s="9">
        <f>IF(M23="Annulée","OK",IF(OR(B23="",C23="",D23="",F23=""),"",IF(SUMPRODUCT((Indisponibilités!$A$2:$A$101=F23)*((Indisponibilités!$B$2:$B$101+Indisponibilités!$C$2:$C$101)&lt;(B23+D23))*((Indisponibilités!$D$2:$D$101+Indisponibilités!$E$2:$E$101)&gt;(B23+C23)))&gt;0,"INDISPONIBLE","OK")))</f>
        <v/>
      </c>
      <c r="R23" s="9">
        <f>IF(OR(I23="",K23=""),"",IF(COUNTIFS(Chantiers_Zones!$B$2:$B$101,I23,Chantiers_Zones!$D$2:$D$101,K23,Chantiers_Zones!$E$2:$E$101,"Oui")&gt;0,"OK","ZONE INVALIDE"))</f>
        <v/>
      </c>
      <c r="S23" s="9">
        <f>IF(OR(B23="",I23=""),"",IFERROR(IF(AND(B23&gt;=_xlfn.XLOOKUP(I23,Chantiers_Zones!$B$2:$B$101,Chantiers_Zones!$F$2:$F$101),B23&lt;=_xlfn.XLOOKUP(I23,Chantiers_Zones!$B$2:$B$101,Chantiers_Zones!$G$2:$G$101)),"OK","HORS PÉRIODE"),"CHANTIER INCONNU"))</f>
        <v/>
      </c>
      <c r="T23" s="9">
        <f>IF(COUNTA(A23:D23,F23,I23,K23:O23)=0,"",IF(M23="Annulée","OK",IF(OR(A23="",B23="",C23="",D23="",F23="",I23="",K23="",L23="",M23=""),"INCOMPLET",IF(D23&lt;=C23,"HORAIRES INVALIDES",IF(OR(C23&lt;Paramètres!$B$3,D23&gt;Paramètres!$B$4),"HORS PLAGE",IF(P23&lt;&gt;"OK",P23,IF(Q23&lt;&gt;"OK",Q23,IF(R23&lt;&gt;"OK",R23,IF(S23&lt;&gt;"OK",S23,"OK")))))))))</f>
        <v/>
      </c>
    </row>
    <row r="24">
      <c r="A24" s="12" t="n"/>
      <c r="B24" s="24" t="n"/>
      <c r="C24" s="25" t="n"/>
      <c r="D24" s="25" t="n"/>
      <c r="E24" s="15">
        <f>IF(OR(C24="",D24=""),"",IF(D24&gt;C24,(D24-C24)*24,""))</f>
        <v/>
      </c>
      <c r="F24" s="12" t="n"/>
      <c r="G24" s="16">
        <f>IF(F24="","",IFERROR(_xlfn.XLOOKUP(F24,Intervenants!$A$2:$A$101,Intervenants!$B$2:$B$101),"ID inconnu"))</f>
        <v/>
      </c>
      <c r="H24" s="16">
        <f>IF(F24="","",IFERROR(_xlfn.XLOOKUP(F24,Intervenants!$A$2:$A$101,Intervenants!$C$2:$C$101),"ID inconnu"))</f>
        <v/>
      </c>
      <c r="I24" s="12" t="n"/>
      <c r="J24" s="16">
        <f>IF(I24="","",IFERROR(_xlfn.XLOOKUP(I24,Chantiers_Zones!$B$2:$B$101,Chantiers_Zones!$C$2:$C$101),"CHANTIER INCONNU"))</f>
        <v/>
      </c>
      <c r="K24" s="12" t="n"/>
      <c r="L24" s="12" t="n"/>
      <c r="M24" s="8" t="n"/>
      <c r="N24" s="8" t="n"/>
      <c r="O24" s="17" t="n"/>
      <c r="P24" s="9">
        <f>IF(M24="Annulée","OK",IF(OR(B24="",C24="",D24="",F24=""),"",IF(COUNTIFS($F$7:$F$206,F24,$B$7:$B$206,B24,$C$7:$C$206,"&lt;"&amp;D24,$D$7:$D$206,"&gt;"&amp;C24,$M$7:$M$206,"&lt;&gt;Annulée")&gt;1,"DOUBLE RÉSERVATION","OK")))</f>
        <v/>
      </c>
      <c r="Q24" s="9">
        <f>IF(M24="Annulée","OK",IF(OR(B24="",C24="",D24="",F24=""),"",IF(SUMPRODUCT((Indisponibilités!$A$2:$A$101=F24)*((Indisponibilités!$B$2:$B$101+Indisponibilités!$C$2:$C$101)&lt;(B24+D24))*((Indisponibilités!$D$2:$D$101+Indisponibilités!$E$2:$E$101)&gt;(B24+C24)))&gt;0,"INDISPONIBLE","OK")))</f>
        <v/>
      </c>
      <c r="R24" s="9">
        <f>IF(OR(I24="",K24=""),"",IF(COUNTIFS(Chantiers_Zones!$B$2:$B$101,I24,Chantiers_Zones!$D$2:$D$101,K24,Chantiers_Zones!$E$2:$E$101,"Oui")&gt;0,"OK","ZONE INVALIDE"))</f>
        <v/>
      </c>
      <c r="S24" s="9">
        <f>IF(OR(B24="",I24=""),"",IFERROR(IF(AND(B24&gt;=_xlfn.XLOOKUP(I24,Chantiers_Zones!$B$2:$B$101,Chantiers_Zones!$F$2:$F$101),B24&lt;=_xlfn.XLOOKUP(I24,Chantiers_Zones!$B$2:$B$101,Chantiers_Zones!$G$2:$G$101)),"OK","HORS PÉRIODE"),"CHANTIER INCONNU"))</f>
        <v/>
      </c>
      <c r="T24" s="9">
        <f>IF(COUNTA(A24:D24,F24,I24,K24:O24)=0,"",IF(M24="Annulée","OK",IF(OR(A24="",B24="",C24="",D24="",F24="",I24="",K24="",L24="",M24=""),"INCOMPLET",IF(D24&lt;=C24,"HORAIRES INVALIDES",IF(OR(C24&lt;Paramètres!$B$3,D24&gt;Paramètres!$B$4),"HORS PLAGE",IF(P24&lt;&gt;"OK",P24,IF(Q24&lt;&gt;"OK",Q24,IF(R24&lt;&gt;"OK",R24,IF(S24&lt;&gt;"OK",S24,"OK")))))))))</f>
        <v/>
      </c>
    </row>
    <row r="25">
      <c r="A25" s="12" t="n"/>
      <c r="B25" s="24" t="n"/>
      <c r="C25" s="25" t="n"/>
      <c r="D25" s="25" t="n"/>
      <c r="E25" s="15">
        <f>IF(OR(C25="",D25=""),"",IF(D25&gt;C25,(D25-C25)*24,""))</f>
        <v/>
      </c>
      <c r="F25" s="12" t="n"/>
      <c r="G25" s="16">
        <f>IF(F25="","",IFERROR(_xlfn.XLOOKUP(F25,Intervenants!$A$2:$A$101,Intervenants!$B$2:$B$101),"ID inconnu"))</f>
        <v/>
      </c>
      <c r="H25" s="16">
        <f>IF(F25="","",IFERROR(_xlfn.XLOOKUP(F25,Intervenants!$A$2:$A$101,Intervenants!$C$2:$C$101),"ID inconnu"))</f>
        <v/>
      </c>
      <c r="I25" s="12" t="n"/>
      <c r="J25" s="16">
        <f>IF(I25="","",IFERROR(_xlfn.XLOOKUP(I25,Chantiers_Zones!$B$2:$B$101,Chantiers_Zones!$C$2:$C$101),"CHANTIER INCONNU"))</f>
        <v/>
      </c>
      <c r="K25" s="12" t="n"/>
      <c r="L25" s="12" t="n"/>
      <c r="M25" s="8" t="n"/>
      <c r="N25" s="8" t="n"/>
      <c r="O25" s="17" t="n"/>
      <c r="P25" s="9">
        <f>IF(M25="Annulée","OK",IF(OR(B25="",C25="",D25="",F25=""),"",IF(COUNTIFS($F$7:$F$206,F25,$B$7:$B$206,B25,$C$7:$C$206,"&lt;"&amp;D25,$D$7:$D$206,"&gt;"&amp;C25,$M$7:$M$206,"&lt;&gt;Annulée")&gt;1,"DOUBLE RÉSERVATION","OK")))</f>
        <v/>
      </c>
      <c r="Q25" s="9">
        <f>IF(M25="Annulée","OK",IF(OR(B25="",C25="",D25="",F25=""),"",IF(SUMPRODUCT((Indisponibilités!$A$2:$A$101=F25)*((Indisponibilités!$B$2:$B$101+Indisponibilités!$C$2:$C$101)&lt;(B25+D25))*((Indisponibilités!$D$2:$D$101+Indisponibilités!$E$2:$E$101)&gt;(B25+C25)))&gt;0,"INDISPONIBLE","OK")))</f>
        <v/>
      </c>
      <c r="R25" s="9">
        <f>IF(OR(I25="",K25=""),"",IF(COUNTIFS(Chantiers_Zones!$B$2:$B$101,I25,Chantiers_Zones!$D$2:$D$101,K25,Chantiers_Zones!$E$2:$E$101,"Oui")&gt;0,"OK","ZONE INVALIDE"))</f>
        <v/>
      </c>
      <c r="S25" s="9">
        <f>IF(OR(B25="",I25=""),"",IFERROR(IF(AND(B25&gt;=_xlfn.XLOOKUP(I25,Chantiers_Zones!$B$2:$B$101,Chantiers_Zones!$F$2:$F$101),B25&lt;=_xlfn.XLOOKUP(I25,Chantiers_Zones!$B$2:$B$101,Chantiers_Zones!$G$2:$G$101)),"OK","HORS PÉRIODE"),"CHANTIER INCONNU"))</f>
        <v/>
      </c>
      <c r="T25" s="9">
        <f>IF(COUNTA(A25:D25,F25,I25,K25:O25)=0,"",IF(M25="Annulée","OK",IF(OR(A25="",B25="",C25="",D25="",F25="",I25="",K25="",L25="",M25=""),"INCOMPLET",IF(D25&lt;=C25,"HORAIRES INVALIDES",IF(OR(C25&lt;Paramètres!$B$3,D25&gt;Paramètres!$B$4),"HORS PLAGE",IF(P25&lt;&gt;"OK",P25,IF(Q25&lt;&gt;"OK",Q25,IF(R25&lt;&gt;"OK",R25,IF(S25&lt;&gt;"OK",S25,"OK")))))))))</f>
        <v/>
      </c>
    </row>
    <row r="26">
      <c r="A26" s="12" t="n"/>
      <c r="B26" s="24" t="n"/>
      <c r="C26" s="25" t="n"/>
      <c r="D26" s="25" t="n"/>
      <c r="E26" s="15">
        <f>IF(OR(C26="",D26=""),"",IF(D26&gt;C26,(D26-C26)*24,""))</f>
        <v/>
      </c>
      <c r="F26" s="12" t="n"/>
      <c r="G26" s="16">
        <f>IF(F26="","",IFERROR(_xlfn.XLOOKUP(F26,Intervenants!$A$2:$A$101,Intervenants!$B$2:$B$101),"ID inconnu"))</f>
        <v/>
      </c>
      <c r="H26" s="16">
        <f>IF(F26="","",IFERROR(_xlfn.XLOOKUP(F26,Intervenants!$A$2:$A$101,Intervenants!$C$2:$C$101),"ID inconnu"))</f>
        <v/>
      </c>
      <c r="I26" s="12" t="n"/>
      <c r="J26" s="16">
        <f>IF(I26="","",IFERROR(_xlfn.XLOOKUP(I26,Chantiers_Zones!$B$2:$B$101,Chantiers_Zones!$C$2:$C$101),"CHANTIER INCONNU"))</f>
        <v/>
      </c>
      <c r="K26" s="12" t="n"/>
      <c r="L26" s="12" t="n"/>
      <c r="M26" s="8" t="n"/>
      <c r="N26" s="8" t="n"/>
      <c r="O26" s="17" t="n"/>
      <c r="P26" s="9">
        <f>IF(M26="Annulée","OK",IF(OR(B26="",C26="",D26="",F26=""),"",IF(COUNTIFS($F$7:$F$206,F26,$B$7:$B$206,B26,$C$7:$C$206,"&lt;"&amp;D26,$D$7:$D$206,"&gt;"&amp;C26,$M$7:$M$206,"&lt;&gt;Annulée")&gt;1,"DOUBLE RÉSERVATION","OK")))</f>
        <v/>
      </c>
      <c r="Q26" s="9">
        <f>IF(M26="Annulée","OK",IF(OR(B26="",C26="",D26="",F26=""),"",IF(SUMPRODUCT((Indisponibilités!$A$2:$A$101=F26)*((Indisponibilités!$B$2:$B$101+Indisponibilités!$C$2:$C$101)&lt;(B26+D26))*((Indisponibilités!$D$2:$D$101+Indisponibilités!$E$2:$E$101)&gt;(B26+C26)))&gt;0,"INDISPONIBLE","OK")))</f>
        <v/>
      </c>
      <c r="R26" s="9">
        <f>IF(OR(I26="",K26=""),"",IF(COUNTIFS(Chantiers_Zones!$B$2:$B$101,I26,Chantiers_Zones!$D$2:$D$101,K26,Chantiers_Zones!$E$2:$E$101,"Oui")&gt;0,"OK","ZONE INVALIDE"))</f>
        <v/>
      </c>
      <c r="S26" s="9">
        <f>IF(OR(B26="",I26=""),"",IFERROR(IF(AND(B26&gt;=_xlfn.XLOOKUP(I26,Chantiers_Zones!$B$2:$B$101,Chantiers_Zones!$F$2:$F$101),B26&lt;=_xlfn.XLOOKUP(I26,Chantiers_Zones!$B$2:$B$101,Chantiers_Zones!$G$2:$G$101)),"OK","HORS PÉRIODE"),"CHANTIER INCONNU"))</f>
        <v/>
      </c>
      <c r="T26" s="9">
        <f>IF(COUNTA(A26:D26,F26,I26,K26:O26)=0,"",IF(M26="Annulée","OK",IF(OR(A26="",B26="",C26="",D26="",F26="",I26="",K26="",L26="",M26=""),"INCOMPLET",IF(D26&lt;=C26,"HORAIRES INVALIDES",IF(OR(C26&lt;Paramètres!$B$3,D26&gt;Paramètres!$B$4),"HORS PLAGE",IF(P26&lt;&gt;"OK",P26,IF(Q26&lt;&gt;"OK",Q26,IF(R26&lt;&gt;"OK",R26,IF(S26&lt;&gt;"OK",S26,"OK")))))))))</f>
        <v/>
      </c>
    </row>
    <row r="27">
      <c r="A27" s="12" t="n"/>
      <c r="B27" s="24" t="n"/>
      <c r="C27" s="25" t="n"/>
      <c r="D27" s="25" t="n"/>
      <c r="E27" s="15">
        <f>IF(OR(C27="",D27=""),"",IF(D27&gt;C27,(D27-C27)*24,""))</f>
        <v/>
      </c>
      <c r="F27" s="12" t="n"/>
      <c r="G27" s="16">
        <f>IF(F27="","",IFERROR(_xlfn.XLOOKUP(F27,Intervenants!$A$2:$A$101,Intervenants!$B$2:$B$101),"ID inconnu"))</f>
        <v/>
      </c>
      <c r="H27" s="16">
        <f>IF(F27="","",IFERROR(_xlfn.XLOOKUP(F27,Intervenants!$A$2:$A$101,Intervenants!$C$2:$C$101),"ID inconnu"))</f>
        <v/>
      </c>
      <c r="I27" s="12" t="n"/>
      <c r="J27" s="16">
        <f>IF(I27="","",IFERROR(_xlfn.XLOOKUP(I27,Chantiers_Zones!$B$2:$B$101,Chantiers_Zones!$C$2:$C$101),"CHANTIER INCONNU"))</f>
        <v/>
      </c>
      <c r="K27" s="12" t="n"/>
      <c r="L27" s="12" t="n"/>
      <c r="M27" s="8" t="n"/>
      <c r="N27" s="8" t="n"/>
      <c r="O27" s="17" t="n"/>
      <c r="P27" s="9">
        <f>IF(M27="Annulée","OK",IF(OR(B27="",C27="",D27="",F27=""),"",IF(COUNTIFS($F$7:$F$206,F27,$B$7:$B$206,B27,$C$7:$C$206,"&lt;"&amp;D27,$D$7:$D$206,"&gt;"&amp;C27,$M$7:$M$206,"&lt;&gt;Annulée")&gt;1,"DOUBLE RÉSERVATION","OK")))</f>
        <v/>
      </c>
      <c r="Q27" s="9">
        <f>IF(M27="Annulée","OK",IF(OR(B27="",C27="",D27="",F27=""),"",IF(SUMPRODUCT((Indisponibilités!$A$2:$A$101=F27)*((Indisponibilités!$B$2:$B$101+Indisponibilités!$C$2:$C$101)&lt;(B27+D27))*((Indisponibilités!$D$2:$D$101+Indisponibilités!$E$2:$E$101)&gt;(B27+C27)))&gt;0,"INDISPONIBLE","OK")))</f>
        <v/>
      </c>
      <c r="R27" s="9">
        <f>IF(OR(I27="",K27=""),"",IF(COUNTIFS(Chantiers_Zones!$B$2:$B$101,I27,Chantiers_Zones!$D$2:$D$101,K27,Chantiers_Zones!$E$2:$E$101,"Oui")&gt;0,"OK","ZONE INVALIDE"))</f>
        <v/>
      </c>
      <c r="S27" s="9">
        <f>IF(OR(B27="",I27=""),"",IFERROR(IF(AND(B27&gt;=_xlfn.XLOOKUP(I27,Chantiers_Zones!$B$2:$B$101,Chantiers_Zones!$F$2:$F$101),B27&lt;=_xlfn.XLOOKUP(I27,Chantiers_Zones!$B$2:$B$101,Chantiers_Zones!$G$2:$G$101)),"OK","HORS PÉRIODE"),"CHANTIER INCONNU"))</f>
        <v/>
      </c>
      <c r="T27" s="9">
        <f>IF(COUNTA(A27:D27,F27,I27,K27:O27)=0,"",IF(M27="Annulée","OK",IF(OR(A27="",B27="",C27="",D27="",F27="",I27="",K27="",L27="",M27=""),"INCOMPLET",IF(D27&lt;=C27,"HORAIRES INVALIDES",IF(OR(C27&lt;Paramètres!$B$3,D27&gt;Paramètres!$B$4),"HORS PLAGE",IF(P27&lt;&gt;"OK",P27,IF(Q27&lt;&gt;"OK",Q27,IF(R27&lt;&gt;"OK",R27,IF(S27&lt;&gt;"OK",S27,"OK")))))))))</f>
        <v/>
      </c>
    </row>
    <row r="28">
      <c r="A28" s="12" t="n"/>
      <c r="B28" s="24" t="n"/>
      <c r="C28" s="25" t="n"/>
      <c r="D28" s="25" t="n"/>
      <c r="E28" s="15">
        <f>IF(OR(C28="",D28=""),"",IF(D28&gt;C28,(D28-C28)*24,""))</f>
        <v/>
      </c>
      <c r="F28" s="12" t="n"/>
      <c r="G28" s="16">
        <f>IF(F28="","",IFERROR(_xlfn.XLOOKUP(F28,Intervenants!$A$2:$A$101,Intervenants!$B$2:$B$101),"ID inconnu"))</f>
        <v/>
      </c>
      <c r="H28" s="16">
        <f>IF(F28="","",IFERROR(_xlfn.XLOOKUP(F28,Intervenants!$A$2:$A$101,Intervenants!$C$2:$C$101),"ID inconnu"))</f>
        <v/>
      </c>
      <c r="I28" s="12" t="n"/>
      <c r="J28" s="16">
        <f>IF(I28="","",IFERROR(_xlfn.XLOOKUP(I28,Chantiers_Zones!$B$2:$B$101,Chantiers_Zones!$C$2:$C$101),"CHANTIER INCONNU"))</f>
        <v/>
      </c>
      <c r="K28" s="12" t="n"/>
      <c r="L28" s="12" t="n"/>
      <c r="M28" s="8" t="n"/>
      <c r="N28" s="8" t="n"/>
      <c r="O28" s="17" t="n"/>
      <c r="P28" s="9">
        <f>IF(M28="Annulée","OK",IF(OR(B28="",C28="",D28="",F28=""),"",IF(COUNTIFS($F$7:$F$206,F28,$B$7:$B$206,B28,$C$7:$C$206,"&lt;"&amp;D28,$D$7:$D$206,"&gt;"&amp;C28,$M$7:$M$206,"&lt;&gt;Annulée")&gt;1,"DOUBLE RÉSERVATION","OK")))</f>
        <v/>
      </c>
      <c r="Q28" s="9">
        <f>IF(M28="Annulée","OK",IF(OR(B28="",C28="",D28="",F28=""),"",IF(SUMPRODUCT((Indisponibilités!$A$2:$A$101=F28)*((Indisponibilités!$B$2:$B$101+Indisponibilités!$C$2:$C$101)&lt;(B28+D28))*((Indisponibilités!$D$2:$D$101+Indisponibilités!$E$2:$E$101)&gt;(B28+C28)))&gt;0,"INDISPONIBLE","OK")))</f>
        <v/>
      </c>
      <c r="R28" s="9">
        <f>IF(OR(I28="",K28=""),"",IF(COUNTIFS(Chantiers_Zones!$B$2:$B$101,I28,Chantiers_Zones!$D$2:$D$101,K28,Chantiers_Zones!$E$2:$E$101,"Oui")&gt;0,"OK","ZONE INVALIDE"))</f>
        <v/>
      </c>
      <c r="S28" s="9">
        <f>IF(OR(B28="",I28=""),"",IFERROR(IF(AND(B28&gt;=_xlfn.XLOOKUP(I28,Chantiers_Zones!$B$2:$B$101,Chantiers_Zones!$F$2:$F$101),B28&lt;=_xlfn.XLOOKUP(I28,Chantiers_Zones!$B$2:$B$101,Chantiers_Zones!$G$2:$G$101)),"OK","HORS PÉRIODE"),"CHANTIER INCONNU"))</f>
        <v/>
      </c>
      <c r="T28" s="9">
        <f>IF(COUNTA(A28:D28,F28,I28,K28:O28)=0,"",IF(M28="Annulée","OK",IF(OR(A28="",B28="",C28="",D28="",F28="",I28="",K28="",L28="",M28=""),"INCOMPLET",IF(D28&lt;=C28,"HORAIRES INVALIDES",IF(OR(C28&lt;Paramètres!$B$3,D28&gt;Paramètres!$B$4),"HORS PLAGE",IF(P28&lt;&gt;"OK",P28,IF(Q28&lt;&gt;"OK",Q28,IF(R28&lt;&gt;"OK",R28,IF(S28&lt;&gt;"OK",S28,"OK")))))))))</f>
        <v/>
      </c>
    </row>
    <row r="29">
      <c r="A29" s="12" t="n"/>
      <c r="B29" s="24" t="n"/>
      <c r="C29" s="25" t="n"/>
      <c r="D29" s="25" t="n"/>
      <c r="E29" s="15">
        <f>IF(OR(C29="",D29=""),"",IF(D29&gt;C29,(D29-C29)*24,""))</f>
        <v/>
      </c>
      <c r="F29" s="12" t="n"/>
      <c r="G29" s="16">
        <f>IF(F29="","",IFERROR(_xlfn.XLOOKUP(F29,Intervenants!$A$2:$A$101,Intervenants!$B$2:$B$101),"ID inconnu"))</f>
        <v/>
      </c>
      <c r="H29" s="16">
        <f>IF(F29="","",IFERROR(_xlfn.XLOOKUP(F29,Intervenants!$A$2:$A$101,Intervenants!$C$2:$C$101),"ID inconnu"))</f>
        <v/>
      </c>
      <c r="I29" s="12" t="n"/>
      <c r="J29" s="16">
        <f>IF(I29="","",IFERROR(_xlfn.XLOOKUP(I29,Chantiers_Zones!$B$2:$B$101,Chantiers_Zones!$C$2:$C$101),"CHANTIER INCONNU"))</f>
        <v/>
      </c>
      <c r="K29" s="12" t="n"/>
      <c r="L29" s="12" t="n"/>
      <c r="M29" s="8" t="n"/>
      <c r="N29" s="8" t="n"/>
      <c r="O29" s="17" t="n"/>
      <c r="P29" s="9">
        <f>IF(M29="Annulée","OK",IF(OR(B29="",C29="",D29="",F29=""),"",IF(COUNTIFS($F$7:$F$206,F29,$B$7:$B$206,B29,$C$7:$C$206,"&lt;"&amp;D29,$D$7:$D$206,"&gt;"&amp;C29,$M$7:$M$206,"&lt;&gt;Annulée")&gt;1,"DOUBLE RÉSERVATION","OK")))</f>
        <v/>
      </c>
      <c r="Q29" s="9">
        <f>IF(M29="Annulée","OK",IF(OR(B29="",C29="",D29="",F29=""),"",IF(SUMPRODUCT((Indisponibilités!$A$2:$A$101=F29)*((Indisponibilités!$B$2:$B$101+Indisponibilités!$C$2:$C$101)&lt;(B29+D29))*((Indisponibilités!$D$2:$D$101+Indisponibilités!$E$2:$E$101)&gt;(B29+C29)))&gt;0,"INDISPONIBLE","OK")))</f>
        <v/>
      </c>
      <c r="R29" s="9">
        <f>IF(OR(I29="",K29=""),"",IF(COUNTIFS(Chantiers_Zones!$B$2:$B$101,I29,Chantiers_Zones!$D$2:$D$101,K29,Chantiers_Zones!$E$2:$E$101,"Oui")&gt;0,"OK","ZONE INVALIDE"))</f>
        <v/>
      </c>
      <c r="S29" s="9">
        <f>IF(OR(B29="",I29=""),"",IFERROR(IF(AND(B29&gt;=_xlfn.XLOOKUP(I29,Chantiers_Zones!$B$2:$B$101,Chantiers_Zones!$F$2:$F$101),B29&lt;=_xlfn.XLOOKUP(I29,Chantiers_Zones!$B$2:$B$101,Chantiers_Zones!$G$2:$G$101)),"OK","HORS PÉRIODE"),"CHANTIER INCONNU"))</f>
        <v/>
      </c>
      <c r="T29" s="9">
        <f>IF(COUNTA(A29:D29,F29,I29,K29:O29)=0,"",IF(M29="Annulée","OK",IF(OR(A29="",B29="",C29="",D29="",F29="",I29="",K29="",L29="",M29=""),"INCOMPLET",IF(D29&lt;=C29,"HORAIRES INVALIDES",IF(OR(C29&lt;Paramètres!$B$3,D29&gt;Paramètres!$B$4),"HORS PLAGE",IF(P29&lt;&gt;"OK",P29,IF(Q29&lt;&gt;"OK",Q29,IF(R29&lt;&gt;"OK",R29,IF(S29&lt;&gt;"OK",S29,"OK")))))))))</f>
        <v/>
      </c>
    </row>
    <row r="30">
      <c r="A30" s="12" t="n"/>
      <c r="B30" s="24" t="n"/>
      <c r="C30" s="25" t="n"/>
      <c r="D30" s="25" t="n"/>
      <c r="E30" s="15">
        <f>IF(OR(C30="",D30=""),"",IF(D30&gt;C30,(D30-C30)*24,""))</f>
        <v/>
      </c>
      <c r="F30" s="12" t="n"/>
      <c r="G30" s="16">
        <f>IF(F30="","",IFERROR(_xlfn.XLOOKUP(F30,Intervenants!$A$2:$A$101,Intervenants!$B$2:$B$101),"ID inconnu"))</f>
        <v/>
      </c>
      <c r="H30" s="16">
        <f>IF(F30="","",IFERROR(_xlfn.XLOOKUP(F30,Intervenants!$A$2:$A$101,Intervenants!$C$2:$C$101),"ID inconnu"))</f>
        <v/>
      </c>
      <c r="I30" s="12" t="n"/>
      <c r="J30" s="16">
        <f>IF(I30="","",IFERROR(_xlfn.XLOOKUP(I30,Chantiers_Zones!$B$2:$B$101,Chantiers_Zones!$C$2:$C$101),"CHANTIER INCONNU"))</f>
        <v/>
      </c>
      <c r="K30" s="12" t="n"/>
      <c r="L30" s="12" t="n"/>
      <c r="M30" s="8" t="n"/>
      <c r="N30" s="8" t="n"/>
      <c r="O30" s="17" t="n"/>
      <c r="P30" s="9">
        <f>IF(M30="Annulée","OK",IF(OR(B30="",C30="",D30="",F30=""),"",IF(COUNTIFS($F$7:$F$206,F30,$B$7:$B$206,B30,$C$7:$C$206,"&lt;"&amp;D30,$D$7:$D$206,"&gt;"&amp;C30,$M$7:$M$206,"&lt;&gt;Annulée")&gt;1,"DOUBLE RÉSERVATION","OK")))</f>
        <v/>
      </c>
      <c r="Q30" s="9">
        <f>IF(M30="Annulée","OK",IF(OR(B30="",C30="",D30="",F30=""),"",IF(SUMPRODUCT((Indisponibilités!$A$2:$A$101=F30)*((Indisponibilités!$B$2:$B$101+Indisponibilités!$C$2:$C$101)&lt;(B30+D30))*((Indisponibilités!$D$2:$D$101+Indisponibilités!$E$2:$E$101)&gt;(B30+C30)))&gt;0,"INDISPONIBLE","OK")))</f>
        <v/>
      </c>
      <c r="R30" s="9">
        <f>IF(OR(I30="",K30=""),"",IF(COUNTIFS(Chantiers_Zones!$B$2:$B$101,I30,Chantiers_Zones!$D$2:$D$101,K30,Chantiers_Zones!$E$2:$E$101,"Oui")&gt;0,"OK","ZONE INVALIDE"))</f>
        <v/>
      </c>
      <c r="S30" s="9">
        <f>IF(OR(B30="",I30=""),"",IFERROR(IF(AND(B30&gt;=_xlfn.XLOOKUP(I30,Chantiers_Zones!$B$2:$B$101,Chantiers_Zones!$F$2:$F$101),B30&lt;=_xlfn.XLOOKUP(I30,Chantiers_Zones!$B$2:$B$101,Chantiers_Zones!$G$2:$G$101)),"OK","HORS PÉRIODE"),"CHANTIER INCONNU"))</f>
        <v/>
      </c>
      <c r="T30" s="9">
        <f>IF(COUNTA(A30:D30,F30,I30,K30:O30)=0,"",IF(M30="Annulée","OK",IF(OR(A30="",B30="",C30="",D30="",F30="",I30="",K30="",L30="",M30=""),"INCOMPLET",IF(D30&lt;=C30,"HORAIRES INVALIDES",IF(OR(C30&lt;Paramètres!$B$3,D30&gt;Paramètres!$B$4),"HORS PLAGE",IF(P30&lt;&gt;"OK",P30,IF(Q30&lt;&gt;"OK",Q30,IF(R30&lt;&gt;"OK",R30,IF(S30&lt;&gt;"OK",S30,"OK")))))))))</f>
        <v/>
      </c>
    </row>
    <row r="31">
      <c r="A31" s="12" t="n"/>
      <c r="B31" s="24" t="n"/>
      <c r="C31" s="25" t="n"/>
      <c r="D31" s="25" t="n"/>
      <c r="E31" s="15">
        <f>IF(OR(C31="",D31=""),"",IF(D31&gt;C31,(D31-C31)*24,""))</f>
        <v/>
      </c>
      <c r="F31" s="12" t="n"/>
      <c r="G31" s="16">
        <f>IF(F31="","",IFERROR(_xlfn.XLOOKUP(F31,Intervenants!$A$2:$A$101,Intervenants!$B$2:$B$101),"ID inconnu"))</f>
        <v/>
      </c>
      <c r="H31" s="16">
        <f>IF(F31="","",IFERROR(_xlfn.XLOOKUP(F31,Intervenants!$A$2:$A$101,Intervenants!$C$2:$C$101),"ID inconnu"))</f>
        <v/>
      </c>
      <c r="I31" s="12" t="n"/>
      <c r="J31" s="16">
        <f>IF(I31="","",IFERROR(_xlfn.XLOOKUP(I31,Chantiers_Zones!$B$2:$B$101,Chantiers_Zones!$C$2:$C$101),"CHANTIER INCONNU"))</f>
        <v/>
      </c>
      <c r="K31" s="12" t="n"/>
      <c r="L31" s="12" t="n"/>
      <c r="M31" s="8" t="n"/>
      <c r="N31" s="8" t="n"/>
      <c r="O31" s="17" t="n"/>
      <c r="P31" s="9">
        <f>IF(M31="Annulée","OK",IF(OR(B31="",C31="",D31="",F31=""),"",IF(COUNTIFS($F$7:$F$206,F31,$B$7:$B$206,B31,$C$7:$C$206,"&lt;"&amp;D31,$D$7:$D$206,"&gt;"&amp;C31,$M$7:$M$206,"&lt;&gt;Annulée")&gt;1,"DOUBLE RÉSERVATION","OK")))</f>
        <v/>
      </c>
      <c r="Q31" s="9">
        <f>IF(M31="Annulée","OK",IF(OR(B31="",C31="",D31="",F31=""),"",IF(SUMPRODUCT((Indisponibilités!$A$2:$A$101=F31)*((Indisponibilités!$B$2:$B$101+Indisponibilités!$C$2:$C$101)&lt;(B31+D31))*((Indisponibilités!$D$2:$D$101+Indisponibilités!$E$2:$E$101)&gt;(B31+C31)))&gt;0,"INDISPONIBLE","OK")))</f>
        <v/>
      </c>
      <c r="R31" s="9">
        <f>IF(OR(I31="",K31=""),"",IF(COUNTIFS(Chantiers_Zones!$B$2:$B$101,I31,Chantiers_Zones!$D$2:$D$101,K31,Chantiers_Zones!$E$2:$E$101,"Oui")&gt;0,"OK","ZONE INVALIDE"))</f>
        <v/>
      </c>
      <c r="S31" s="9">
        <f>IF(OR(B31="",I31=""),"",IFERROR(IF(AND(B31&gt;=_xlfn.XLOOKUP(I31,Chantiers_Zones!$B$2:$B$101,Chantiers_Zones!$F$2:$F$101),B31&lt;=_xlfn.XLOOKUP(I31,Chantiers_Zones!$B$2:$B$101,Chantiers_Zones!$G$2:$G$101)),"OK","HORS PÉRIODE"),"CHANTIER INCONNU"))</f>
        <v/>
      </c>
      <c r="T31" s="9">
        <f>IF(COUNTA(A31:D31,F31,I31,K31:O31)=0,"",IF(M31="Annulée","OK",IF(OR(A31="",B31="",C31="",D31="",F31="",I31="",K31="",L31="",M31=""),"INCOMPLET",IF(D31&lt;=C31,"HORAIRES INVALIDES",IF(OR(C31&lt;Paramètres!$B$3,D31&gt;Paramètres!$B$4),"HORS PLAGE",IF(P31&lt;&gt;"OK",P31,IF(Q31&lt;&gt;"OK",Q31,IF(R31&lt;&gt;"OK",R31,IF(S31&lt;&gt;"OK",S31,"OK")))))))))</f>
        <v/>
      </c>
    </row>
    <row r="32">
      <c r="A32" s="12" t="n"/>
      <c r="B32" s="24" t="n"/>
      <c r="C32" s="25" t="n"/>
      <c r="D32" s="25" t="n"/>
      <c r="E32" s="15">
        <f>IF(OR(C32="",D32=""),"",IF(D32&gt;C32,(D32-C32)*24,""))</f>
        <v/>
      </c>
      <c r="F32" s="12" t="n"/>
      <c r="G32" s="16">
        <f>IF(F32="","",IFERROR(_xlfn.XLOOKUP(F32,Intervenants!$A$2:$A$101,Intervenants!$B$2:$B$101),"ID inconnu"))</f>
        <v/>
      </c>
      <c r="H32" s="16">
        <f>IF(F32="","",IFERROR(_xlfn.XLOOKUP(F32,Intervenants!$A$2:$A$101,Intervenants!$C$2:$C$101),"ID inconnu"))</f>
        <v/>
      </c>
      <c r="I32" s="12" t="n"/>
      <c r="J32" s="16">
        <f>IF(I32="","",IFERROR(_xlfn.XLOOKUP(I32,Chantiers_Zones!$B$2:$B$101,Chantiers_Zones!$C$2:$C$101),"CHANTIER INCONNU"))</f>
        <v/>
      </c>
      <c r="K32" s="12" t="n"/>
      <c r="L32" s="12" t="n"/>
      <c r="M32" s="8" t="n"/>
      <c r="N32" s="8" t="n"/>
      <c r="O32" s="17" t="n"/>
      <c r="P32" s="9">
        <f>IF(M32="Annulée","OK",IF(OR(B32="",C32="",D32="",F32=""),"",IF(COUNTIFS($F$7:$F$206,F32,$B$7:$B$206,B32,$C$7:$C$206,"&lt;"&amp;D32,$D$7:$D$206,"&gt;"&amp;C32,$M$7:$M$206,"&lt;&gt;Annulée")&gt;1,"DOUBLE RÉSERVATION","OK")))</f>
        <v/>
      </c>
      <c r="Q32" s="9">
        <f>IF(M32="Annulée","OK",IF(OR(B32="",C32="",D32="",F32=""),"",IF(SUMPRODUCT((Indisponibilités!$A$2:$A$101=F32)*((Indisponibilités!$B$2:$B$101+Indisponibilités!$C$2:$C$101)&lt;(B32+D32))*((Indisponibilités!$D$2:$D$101+Indisponibilités!$E$2:$E$101)&gt;(B32+C32)))&gt;0,"INDISPONIBLE","OK")))</f>
        <v/>
      </c>
      <c r="R32" s="9">
        <f>IF(OR(I32="",K32=""),"",IF(COUNTIFS(Chantiers_Zones!$B$2:$B$101,I32,Chantiers_Zones!$D$2:$D$101,K32,Chantiers_Zones!$E$2:$E$101,"Oui")&gt;0,"OK","ZONE INVALIDE"))</f>
        <v/>
      </c>
      <c r="S32" s="9">
        <f>IF(OR(B32="",I32=""),"",IFERROR(IF(AND(B32&gt;=_xlfn.XLOOKUP(I32,Chantiers_Zones!$B$2:$B$101,Chantiers_Zones!$F$2:$F$101),B32&lt;=_xlfn.XLOOKUP(I32,Chantiers_Zones!$B$2:$B$101,Chantiers_Zones!$G$2:$G$101)),"OK","HORS PÉRIODE"),"CHANTIER INCONNU"))</f>
        <v/>
      </c>
      <c r="T32" s="9">
        <f>IF(COUNTA(A32:D32,F32,I32,K32:O32)=0,"",IF(M32="Annulée","OK",IF(OR(A32="",B32="",C32="",D32="",F32="",I32="",K32="",L32="",M32=""),"INCOMPLET",IF(D32&lt;=C32,"HORAIRES INVALIDES",IF(OR(C32&lt;Paramètres!$B$3,D32&gt;Paramètres!$B$4),"HORS PLAGE",IF(P32&lt;&gt;"OK",P32,IF(Q32&lt;&gt;"OK",Q32,IF(R32&lt;&gt;"OK",R32,IF(S32&lt;&gt;"OK",S32,"OK")))))))))</f>
        <v/>
      </c>
    </row>
    <row r="33">
      <c r="A33" s="12" t="n"/>
      <c r="B33" s="24" t="n"/>
      <c r="C33" s="25" t="n"/>
      <c r="D33" s="25" t="n"/>
      <c r="E33" s="15">
        <f>IF(OR(C33="",D33=""),"",IF(D33&gt;C33,(D33-C33)*24,""))</f>
        <v/>
      </c>
      <c r="F33" s="12" t="n"/>
      <c r="G33" s="16">
        <f>IF(F33="","",IFERROR(_xlfn.XLOOKUP(F33,Intervenants!$A$2:$A$101,Intervenants!$B$2:$B$101),"ID inconnu"))</f>
        <v/>
      </c>
      <c r="H33" s="16">
        <f>IF(F33="","",IFERROR(_xlfn.XLOOKUP(F33,Intervenants!$A$2:$A$101,Intervenants!$C$2:$C$101),"ID inconnu"))</f>
        <v/>
      </c>
      <c r="I33" s="12" t="n"/>
      <c r="J33" s="16">
        <f>IF(I33="","",IFERROR(_xlfn.XLOOKUP(I33,Chantiers_Zones!$B$2:$B$101,Chantiers_Zones!$C$2:$C$101),"CHANTIER INCONNU"))</f>
        <v/>
      </c>
      <c r="K33" s="12" t="n"/>
      <c r="L33" s="12" t="n"/>
      <c r="M33" s="8" t="n"/>
      <c r="N33" s="8" t="n"/>
      <c r="O33" s="17" t="n"/>
      <c r="P33" s="9">
        <f>IF(M33="Annulée","OK",IF(OR(B33="",C33="",D33="",F33=""),"",IF(COUNTIFS($F$7:$F$206,F33,$B$7:$B$206,B33,$C$7:$C$206,"&lt;"&amp;D33,$D$7:$D$206,"&gt;"&amp;C33,$M$7:$M$206,"&lt;&gt;Annulée")&gt;1,"DOUBLE RÉSERVATION","OK")))</f>
        <v/>
      </c>
      <c r="Q33" s="9">
        <f>IF(M33="Annulée","OK",IF(OR(B33="",C33="",D33="",F33=""),"",IF(SUMPRODUCT((Indisponibilités!$A$2:$A$101=F33)*((Indisponibilités!$B$2:$B$101+Indisponibilités!$C$2:$C$101)&lt;(B33+D33))*((Indisponibilités!$D$2:$D$101+Indisponibilités!$E$2:$E$101)&gt;(B33+C33)))&gt;0,"INDISPONIBLE","OK")))</f>
        <v/>
      </c>
      <c r="R33" s="9">
        <f>IF(OR(I33="",K33=""),"",IF(COUNTIFS(Chantiers_Zones!$B$2:$B$101,I33,Chantiers_Zones!$D$2:$D$101,K33,Chantiers_Zones!$E$2:$E$101,"Oui")&gt;0,"OK","ZONE INVALIDE"))</f>
        <v/>
      </c>
      <c r="S33" s="9">
        <f>IF(OR(B33="",I33=""),"",IFERROR(IF(AND(B33&gt;=_xlfn.XLOOKUP(I33,Chantiers_Zones!$B$2:$B$101,Chantiers_Zones!$F$2:$F$101),B33&lt;=_xlfn.XLOOKUP(I33,Chantiers_Zones!$B$2:$B$101,Chantiers_Zones!$G$2:$G$101)),"OK","HORS PÉRIODE"),"CHANTIER INCONNU"))</f>
        <v/>
      </c>
      <c r="T33" s="9">
        <f>IF(COUNTA(A33:D33,F33,I33,K33:O33)=0,"",IF(M33="Annulée","OK",IF(OR(A33="",B33="",C33="",D33="",F33="",I33="",K33="",L33="",M33=""),"INCOMPLET",IF(D33&lt;=C33,"HORAIRES INVALIDES",IF(OR(C33&lt;Paramètres!$B$3,D33&gt;Paramètres!$B$4),"HORS PLAGE",IF(P33&lt;&gt;"OK",P33,IF(Q33&lt;&gt;"OK",Q33,IF(R33&lt;&gt;"OK",R33,IF(S33&lt;&gt;"OK",S33,"OK")))))))))</f>
        <v/>
      </c>
    </row>
    <row r="34">
      <c r="A34" s="12" t="n"/>
      <c r="B34" s="24" t="n"/>
      <c r="C34" s="25" t="n"/>
      <c r="D34" s="25" t="n"/>
      <c r="E34" s="15">
        <f>IF(OR(C34="",D34=""),"",IF(D34&gt;C34,(D34-C34)*24,""))</f>
        <v/>
      </c>
      <c r="F34" s="12" t="n"/>
      <c r="G34" s="16">
        <f>IF(F34="","",IFERROR(_xlfn.XLOOKUP(F34,Intervenants!$A$2:$A$101,Intervenants!$B$2:$B$101),"ID inconnu"))</f>
        <v/>
      </c>
      <c r="H34" s="16">
        <f>IF(F34="","",IFERROR(_xlfn.XLOOKUP(F34,Intervenants!$A$2:$A$101,Intervenants!$C$2:$C$101),"ID inconnu"))</f>
        <v/>
      </c>
      <c r="I34" s="12" t="n"/>
      <c r="J34" s="16">
        <f>IF(I34="","",IFERROR(_xlfn.XLOOKUP(I34,Chantiers_Zones!$B$2:$B$101,Chantiers_Zones!$C$2:$C$101),"CHANTIER INCONNU"))</f>
        <v/>
      </c>
      <c r="K34" s="12" t="n"/>
      <c r="L34" s="12" t="n"/>
      <c r="M34" s="8" t="n"/>
      <c r="N34" s="8" t="n"/>
      <c r="O34" s="17" t="n"/>
      <c r="P34" s="9">
        <f>IF(M34="Annulée","OK",IF(OR(B34="",C34="",D34="",F34=""),"",IF(COUNTIFS($F$7:$F$206,F34,$B$7:$B$206,B34,$C$7:$C$206,"&lt;"&amp;D34,$D$7:$D$206,"&gt;"&amp;C34,$M$7:$M$206,"&lt;&gt;Annulée")&gt;1,"DOUBLE RÉSERVATION","OK")))</f>
        <v/>
      </c>
      <c r="Q34" s="9">
        <f>IF(M34="Annulée","OK",IF(OR(B34="",C34="",D34="",F34=""),"",IF(SUMPRODUCT((Indisponibilités!$A$2:$A$101=F34)*((Indisponibilités!$B$2:$B$101+Indisponibilités!$C$2:$C$101)&lt;(B34+D34))*((Indisponibilités!$D$2:$D$101+Indisponibilités!$E$2:$E$101)&gt;(B34+C34)))&gt;0,"INDISPONIBLE","OK")))</f>
        <v/>
      </c>
      <c r="R34" s="9">
        <f>IF(OR(I34="",K34=""),"",IF(COUNTIFS(Chantiers_Zones!$B$2:$B$101,I34,Chantiers_Zones!$D$2:$D$101,K34,Chantiers_Zones!$E$2:$E$101,"Oui")&gt;0,"OK","ZONE INVALIDE"))</f>
        <v/>
      </c>
      <c r="S34" s="9">
        <f>IF(OR(B34="",I34=""),"",IFERROR(IF(AND(B34&gt;=_xlfn.XLOOKUP(I34,Chantiers_Zones!$B$2:$B$101,Chantiers_Zones!$F$2:$F$101),B34&lt;=_xlfn.XLOOKUP(I34,Chantiers_Zones!$B$2:$B$101,Chantiers_Zones!$G$2:$G$101)),"OK","HORS PÉRIODE"),"CHANTIER INCONNU"))</f>
        <v/>
      </c>
      <c r="T34" s="9">
        <f>IF(COUNTA(A34:D34,F34,I34,K34:O34)=0,"",IF(M34="Annulée","OK",IF(OR(A34="",B34="",C34="",D34="",F34="",I34="",K34="",L34="",M34=""),"INCOMPLET",IF(D34&lt;=C34,"HORAIRES INVALIDES",IF(OR(C34&lt;Paramètres!$B$3,D34&gt;Paramètres!$B$4),"HORS PLAGE",IF(P34&lt;&gt;"OK",P34,IF(Q34&lt;&gt;"OK",Q34,IF(R34&lt;&gt;"OK",R34,IF(S34&lt;&gt;"OK",S34,"OK")))))))))</f>
        <v/>
      </c>
    </row>
    <row r="35">
      <c r="A35" s="12" t="n"/>
      <c r="B35" s="24" t="n"/>
      <c r="C35" s="25" t="n"/>
      <c r="D35" s="25" t="n"/>
      <c r="E35" s="15">
        <f>IF(OR(C35="",D35=""),"",IF(D35&gt;C35,(D35-C35)*24,""))</f>
        <v/>
      </c>
      <c r="F35" s="12" t="n"/>
      <c r="G35" s="16">
        <f>IF(F35="","",IFERROR(_xlfn.XLOOKUP(F35,Intervenants!$A$2:$A$101,Intervenants!$B$2:$B$101),"ID inconnu"))</f>
        <v/>
      </c>
      <c r="H35" s="16">
        <f>IF(F35="","",IFERROR(_xlfn.XLOOKUP(F35,Intervenants!$A$2:$A$101,Intervenants!$C$2:$C$101),"ID inconnu"))</f>
        <v/>
      </c>
      <c r="I35" s="12" t="n"/>
      <c r="J35" s="16">
        <f>IF(I35="","",IFERROR(_xlfn.XLOOKUP(I35,Chantiers_Zones!$B$2:$B$101,Chantiers_Zones!$C$2:$C$101),"CHANTIER INCONNU"))</f>
        <v/>
      </c>
      <c r="K35" s="12" t="n"/>
      <c r="L35" s="12" t="n"/>
      <c r="M35" s="8" t="n"/>
      <c r="N35" s="8" t="n"/>
      <c r="O35" s="17" t="n"/>
      <c r="P35" s="9">
        <f>IF(M35="Annulée","OK",IF(OR(B35="",C35="",D35="",F35=""),"",IF(COUNTIFS($F$7:$F$206,F35,$B$7:$B$206,B35,$C$7:$C$206,"&lt;"&amp;D35,$D$7:$D$206,"&gt;"&amp;C35,$M$7:$M$206,"&lt;&gt;Annulée")&gt;1,"DOUBLE RÉSERVATION","OK")))</f>
        <v/>
      </c>
      <c r="Q35" s="9">
        <f>IF(M35="Annulée","OK",IF(OR(B35="",C35="",D35="",F35=""),"",IF(SUMPRODUCT((Indisponibilités!$A$2:$A$101=F35)*((Indisponibilités!$B$2:$B$101+Indisponibilités!$C$2:$C$101)&lt;(B35+D35))*((Indisponibilités!$D$2:$D$101+Indisponibilités!$E$2:$E$101)&gt;(B35+C35)))&gt;0,"INDISPONIBLE","OK")))</f>
        <v/>
      </c>
      <c r="R35" s="9">
        <f>IF(OR(I35="",K35=""),"",IF(COUNTIFS(Chantiers_Zones!$B$2:$B$101,I35,Chantiers_Zones!$D$2:$D$101,K35,Chantiers_Zones!$E$2:$E$101,"Oui")&gt;0,"OK","ZONE INVALIDE"))</f>
        <v/>
      </c>
      <c r="S35" s="9">
        <f>IF(OR(B35="",I35=""),"",IFERROR(IF(AND(B35&gt;=_xlfn.XLOOKUP(I35,Chantiers_Zones!$B$2:$B$101,Chantiers_Zones!$F$2:$F$101),B35&lt;=_xlfn.XLOOKUP(I35,Chantiers_Zones!$B$2:$B$101,Chantiers_Zones!$G$2:$G$101)),"OK","HORS PÉRIODE"),"CHANTIER INCONNU"))</f>
        <v/>
      </c>
      <c r="T35" s="9">
        <f>IF(COUNTA(A35:D35,F35,I35,K35:O35)=0,"",IF(M35="Annulée","OK",IF(OR(A35="",B35="",C35="",D35="",F35="",I35="",K35="",L35="",M35=""),"INCOMPLET",IF(D35&lt;=C35,"HORAIRES INVALIDES",IF(OR(C35&lt;Paramètres!$B$3,D35&gt;Paramètres!$B$4),"HORS PLAGE",IF(P35&lt;&gt;"OK",P35,IF(Q35&lt;&gt;"OK",Q35,IF(R35&lt;&gt;"OK",R35,IF(S35&lt;&gt;"OK",S35,"OK")))))))))</f>
        <v/>
      </c>
    </row>
    <row r="36">
      <c r="A36" s="12" t="n"/>
      <c r="B36" s="24" t="n"/>
      <c r="C36" s="25" t="n"/>
      <c r="D36" s="25" t="n"/>
      <c r="E36" s="15">
        <f>IF(OR(C36="",D36=""),"",IF(D36&gt;C36,(D36-C36)*24,""))</f>
        <v/>
      </c>
      <c r="F36" s="12" t="n"/>
      <c r="G36" s="16">
        <f>IF(F36="","",IFERROR(_xlfn.XLOOKUP(F36,Intervenants!$A$2:$A$101,Intervenants!$B$2:$B$101),"ID inconnu"))</f>
        <v/>
      </c>
      <c r="H36" s="16">
        <f>IF(F36="","",IFERROR(_xlfn.XLOOKUP(F36,Intervenants!$A$2:$A$101,Intervenants!$C$2:$C$101),"ID inconnu"))</f>
        <v/>
      </c>
      <c r="I36" s="12" t="n"/>
      <c r="J36" s="16">
        <f>IF(I36="","",IFERROR(_xlfn.XLOOKUP(I36,Chantiers_Zones!$B$2:$B$101,Chantiers_Zones!$C$2:$C$101),"CHANTIER INCONNU"))</f>
        <v/>
      </c>
      <c r="K36" s="12" t="n"/>
      <c r="L36" s="12" t="n"/>
      <c r="M36" s="8" t="n"/>
      <c r="N36" s="8" t="n"/>
      <c r="O36" s="17" t="n"/>
      <c r="P36" s="9">
        <f>IF(M36="Annulée","OK",IF(OR(B36="",C36="",D36="",F36=""),"",IF(COUNTIFS($F$7:$F$206,F36,$B$7:$B$206,B36,$C$7:$C$206,"&lt;"&amp;D36,$D$7:$D$206,"&gt;"&amp;C36,$M$7:$M$206,"&lt;&gt;Annulée")&gt;1,"DOUBLE RÉSERVATION","OK")))</f>
        <v/>
      </c>
      <c r="Q36" s="9">
        <f>IF(M36="Annulée","OK",IF(OR(B36="",C36="",D36="",F36=""),"",IF(SUMPRODUCT((Indisponibilités!$A$2:$A$101=F36)*((Indisponibilités!$B$2:$B$101+Indisponibilités!$C$2:$C$101)&lt;(B36+D36))*((Indisponibilités!$D$2:$D$101+Indisponibilités!$E$2:$E$101)&gt;(B36+C36)))&gt;0,"INDISPONIBLE","OK")))</f>
        <v/>
      </c>
      <c r="R36" s="9">
        <f>IF(OR(I36="",K36=""),"",IF(COUNTIFS(Chantiers_Zones!$B$2:$B$101,I36,Chantiers_Zones!$D$2:$D$101,K36,Chantiers_Zones!$E$2:$E$101,"Oui")&gt;0,"OK","ZONE INVALIDE"))</f>
        <v/>
      </c>
      <c r="S36" s="9">
        <f>IF(OR(B36="",I36=""),"",IFERROR(IF(AND(B36&gt;=_xlfn.XLOOKUP(I36,Chantiers_Zones!$B$2:$B$101,Chantiers_Zones!$F$2:$F$101),B36&lt;=_xlfn.XLOOKUP(I36,Chantiers_Zones!$B$2:$B$101,Chantiers_Zones!$G$2:$G$101)),"OK","HORS PÉRIODE"),"CHANTIER INCONNU"))</f>
        <v/>
      </c>
      <c r="T36" s="9">
        <f>IF(COUNTA(A36:D36,F36,I36,K36:O36)=0,"",IF(M36="Annulée","OK",IF(OR(A36="",B36="",C36="",D36="",F36="",I36="",K36="",L36="",M36=""),"INCOMPLET",IF(D36&lt;=C36,"HORAIRES INVALIDES",IF(OR(C36&lt;Paramètres!$B$3,D36&gt;Paramètres!$B$4),"HORS PLAGE",IF(P36&lt;&gt;"OK",P36,IF(Q36&lt;&gt;"OK",Q36,IF(R36&lt;&gt;"OK",R36,IF(S36&lt;&gt;"OK",S36,"OK")))))))))</f>
        <v/>
      </c>
    </row>
    <row r="37">
      <c r="A37" s="12" t="n"/>
      <c r="B37" s="24" t="n"/>
      <c r="C37" s="25" t="n"/>
      <c r="D37" s="25" t="n"/>
      <c r="E37" s="15">
        <f>IF(OR(C37="",D37=""),"",IF(D37&gt;C37,(D37-C37)*24,""))</f>
        <v/>
      </c>
      <c r="F37" s="12" t="n"/>
      <c r="G37" s="16">
        <f>IF(F37="","",IFERROR(_xlfn.XLOOKUP(F37,Intervenants!$A$2:$A$101,Intervenants!$B$2:$B$101),"ID inconnu"))</f>
        <v/>
      </c>
      <c r="H37" s="16">
        <f>IF(F37="","",IFERROR(_xlfn.XLOOKUP(F37,Intervenants!$A$2:$A$101,Intervenants!$C$2:$C$101),"ID inconnu"))</f>
        <v/>
      </c>
      <c r="I37" s="12" t="n"/>
      <c r="J37" s="16">
        <f>IF(I37="","",IFERROR(_xlfn.XLOOKUP(I37,Chantiers_Zones!$B$2:$B$101,Chantiers_Zones!$C$2:$C$101),"CHANTIER INCONNU"))</f>
        <v/>
      </c>
      <c r="K37" s="12" t="n"/>
      <c r="L37" s="12" t="n"/>
      <c r="M37" s="8" t="n"/>
      <c r="N37" s="8" t="n"/>
      <c r="O37" s="17" t="n"/>
      <c r="P37" s="9">
        <f>IF(M37="Annulée","OK",IF(OR(B37="",C37="",D37="",F37=""),"",IF(COUNTIFS($F$7:$F$206,F37,$B$7:$B$206,B37,$C$7:$C$206,"&lt;"&amp;D37,$D$7:$D$206,"&gt;"&amp;C37,$M$7:$M$206,"&lt;&gt;Annulée")&gt;1,"DOUBLE RÉSERVATION","OK")))</f>
        <v/>
      </c>
      <c r="Q37" s="9">
        <f>IF(M37="Annulée","OK",IF(OR(B37="",C37="",D37="",F37=""),"",IF(SUMPRODUCT((Indisponibilités!$A$2:$A$101=F37)*((Indisponibilités!$B$2:$B$101+Indisponibilités!$C$2:$C$101)&lt;(B37+D37))*((Indisponibilités!$D$2:$D$101+Indisponibilités!$E$2:$E$101)&gt;(B37+C37)))&gt;0,"INDISPONIBLE","OK")))</f>
        <v/>
      </c>
      <c r="R37" s="9">
        <f>IF(OR(I37="",K37=""),"",IF(COUNTIFS(Chantiers_Zones!$B$2:$B$101,I37,Chantiers_Zones!$D$2:$D$101,K37,Chantiers_Zones!$E$2:$E$101,"Oui")&gt;0,"OK","ZONE INVALIDE"))</f>
        <v/>
      </c>
      <c r="S37" s="9">
        <f>IF(OR(B37="",I37=""),"",IFERROR(IF(AND(B37&gt;=_xlfn.XLOOKUP(I37,Chantiers_Zones!$B$2:$B$101,Chantiers_Zones!$F$2:$F$101),B37&lt;=_xlfn.XLOOKUP(I37,Chantiers_Zones!$B$2:$B$101,Chantiers_Zones!$G$2:$G$101)),"OK","HORS PÉRIODE"),"CHANTIER INCONNU"))</f>
        <v/>
      </c>
      <c r="T37" s="9">
        <f>IF(COUNTA(A37:D37,F37,I37,K37:O37)=0,"",IF(M37="Annulée","OK",IF(OR(A37="",B37="",C37="",D37="",F37="",I37="",K37="",L37="",M37=""),"INCOMPLET",IF(D37&lt;=C37,"HORAIRES INVALIDES",IF(OR(C37&lt;Paramètres!$B$3,D37&gt;Paramètres!$B$4),"HORS PLAGE",IF(P37&lt;&gt;"OK",P37,IF(Q37&lt;&gt;"OK",Q37,IF(R37&lt;&gt;"OK",R37,IF(S37&lt;&gt;"OK",S37,"OK")))))))))</f>
        <v/>
      </c>
    </row>
    <row r="38">
      <c r="A38" s="12" t="n"/>
      <c r="B38" s="24" t="n"/>
      <c r="C38" s="25" t="n"/>
      <c r="D38" s="25" t="n"/>
      <c r="E38" s="15">
        <f>IF(OR(C38="",D38=""),"",IF(D38&gt;C38,(D38-C38)*24,""))</f>
        <v/>
      </c>
      <c r="F38" s="12" t="n"/>
      <c r="G38" s="16">
        <f>IF(F38="","",IFERROR(_xlfn.XLOOKUP(F38,Intervenants!$A$2:$A$101,Intervenants!$B$2:$B$101),"ID inconnu"))</f>
        <v/>
      </c>
      <c r="H38" s="16">
        <f>IF(F38="","",IFERROR(_xlfn.XLOOKUP(F38,Intervenants!$A$2:$A$101,Intervenants!$C$2:$C$101),"ID inconnu"))</f>
        <v/>
      </c>
      <c r="I38" s="12" t="n"/>
      <c r="J38" s="16">
        <f>IF(I38="","",IFERROR(_xlfn.XLOOKUP(I38,Chantiers_Zones!$B$2:$B$101,Chantiers_Zones!$C$2:$C$101),"CHANTIER INCONNU"))</f>
        <v/>
      </c>
      <c r="K38" s="12" t="n"/>
      <c r="L38" s="12" t="n"/>
      <c r="M38" s="8" t="n"/>
      <c r="N38" s="8" t="n"/>
      <c r="O38" s="17" t="n"/>
      <c r="P38" s="9">
        <f>IF(M38="Annulée","OK",IF(OR(B38="",C38="",D38="",F38=""),"",IF(COUNTIFS($F$7:$F$206,F38,$B$7:$B$206,B38,$C$7:$C$206,"&lt;"&amp;D38,$D$7:$D$206,"&gt;"&amp;C38,$M$7:$M$206,"&lt;&gt;Annulée")&gt;1,"DOUBLE RÉSERVATION","OK")))</f>
        <v/>
      </c>
      <c r="Q38" s="9">
        <f>IF(M38="Annulée","OK",IF(OR(B38="",C38="",D38="",F38=""),"",IF(SUMPRODUCT((Indisponibilités!$A$2:$A$101=F38)*((Indisponibilités!$B$2:$B$101+Indisponibilités!$C$2:$C$101)&lt;(B38+D38))*((Indisponibilités!$D$2:$D$101+Indisponibilités!$E$2:$E$101)&gt;(B38+C38)))&gt;0,"INDISPONIBLE","OK")))</f>
        <v/>
      </c>
      <c r="R38" s="9">
        <f>IF(OR(I38="",K38=""),"",IF(COUNTIFS(Chantiers_Zones!$B$2:$B$101,I38,Chantiers_Zones!$D$2:$D$101,K38,Chantiers_Zones!$E$2:$E$101,"Oui")&gt;0,"OK","ZONE INVALIDE"))</f>
        <v/>
      </c>
      <c r="S38" s="9">
        <f>IF(OR(B38="",I38=""),"",IFERROR(IF(AND(B38&gt;=_xlfn.XLOOKUP(I38,Chantiers_Zones!$B$2:$B$101,Chantiers_Zones!$F$2:$F$101),B38&lt;=_xlfn.XLOOKUP(I38,Chantiers_Zones!$B$2:$B$101,Chantiers_Zones!$G$2:$G$101)),"OK","HORS PÉRIODE"),"CHANTIER INCONNU"))</f>
        <v/>
      </c>
      <c r="T38" s="9">
        <f>IF(COUNTA(A38:D38,F38,I38,K38:O38)=0,"",IF(M38="Annulée","OK",IF(OR(A38="",B38="",C38="",D38="",F38="",I38="",K38="",L38="",M38=""),"INCOMPLET",IF(D38&lt;=C38,"HORAIRES INVALIDES",IF(OR(C38&lt;Paramètres!$B$3,D38&gt;Paramètres!$B$4),"HORS PLAGE",IF(P38&lt;&gt;"OK",P38,IF(Q38&lt;&gt;"OK",Q38,IF(R38&lt;&gt;"OK",R38,IF(S38&lt;&gt;"OK",S38,"OK")))))))))</f>
        <v/>
      </c>
    </row>
    <row r="39">
      <c r="A39" s="12" t="n"/>
      <c r="B39" s="24" t="n"/>
      <c r="C39" s="25" t="n"/>
      <c r="D39" s="25" t="n"/>
      <c r="E39" s="15">
        <f>IF(OR(C39="",D39=""),"",IF(D39&gt;C39,(D39-C39)*24,""))</f>
        <v/>
      </c>
      <c r="F39" s="12" t="n"/>
      <c r="G39" s="16">
        <f>IF(F39="","",IFERROR(_xlfn.XLOOKUP(F39,Intervenants!$A$2:$A$101,Intervenants!$B$2:$B$101),"ID inconnu"))</f>
        <v/>
      </c>
      <c r="H39" s="16">
        <f>IF(F39="","",IFERROR(_xlfn.XLOOKUP(F39,Intervenants!$A$2:$A$101,Intervenants!$C$2:$C$101),"ID inconnu"))</f>
        <v/>
      </c>
      <c r="I39" s="12" t="n"/>
      <c r="J39" s="16">
        <f>IF(I39="","",IFERROR(_xlfn.XLOOKUP(I39,Chantiers_Zones!$B$2:$B$101,Chantiers_Zones!$C$2:$C$101),"CHANTIER INCONNU"))</f>
        <v/>
      </c>
      <c r="K39" s="12" t="n"/>
      <c r="L39" s="12" t="n"/>
      <c r="M39" s="8" t="n"/>
      <c r="N39" s="8" t="n"/>
      <c r="O39" s="17" t="n"/>
      <c r="P39" s="9">
        <f>IF(M39="Annulée","OK",IF(OR(B39="",C39="",D39="",F39=""),"",IF(COUNTIFS($F$7:$F$206,F39,$B$7:$B$206,B39,$C$7:$C$206,"&lt;"&amp;D39,$D$7:$D$206,"&gt;"&amp;C39,$M$7:$M$206,"&lt;&gt;Annulée")&gt;1,"DOUBLE RÉSERVATION","OK")))</f>
        <v/>
      </c>
      <c r="Q39" s="9">
        <f>IF(M39="Annulée","OK",IF(OR(B39="",C39="",D39="",F39=""),"",IF(SUMPRODUCT((Indisponibilités!$A$2:$A$101=F39)*((Indisponibilités!$B$2:$B$101+Indisponibilités!$C$2:$C$101)&lt;(B39+D39))*((Indisponibilités!$D$2:$D$101+Indisponibilités!$E$2:$E$101)&gt;(B39+C39)))&gt;0,"INDISPONIBLE","OK")))</f>
        <v/>
      </c>
      <c r="R39" s="9">
        <f>IF(OR(I39="",K39=""),"",IF(COUNTIFS(Chantiers_Zones!$B$2:$B$101,I39,Chantiers_Zones!$D$2:$D$101,K39,Chantiers_Zones!$E$2:$E$101,"Oui")&gt;0,"OK","ZONE INVALIDE"))</f>
        <v/>
      </c>
      <c r="S39" s="9">
        <f>IF(OR(B39="",I39=""),"",IFERROR(IF(AND(B39&gt;=_xlfn.XLOOKUP(I39,Chantiers_Zones!$B$2:$B$101,Chantiers_Zones!$F$2:$F$101),B39&lt;=_xlfn.XLOOKUP(I39,Chantiers_Zones!$B$2:$B$101,Chantiers_Zones!$G$2:$G$101)),"OK","HORS PÉRIODE"),"CHANTIER INCONNU"))</f>
        <v/>
      </c>
      <c r="T39" s="9">
        <f>IF(COUNTA(A39:D39,F39,I39,K39:O39)=0,"",IF(M39="Annulée","OK",IF(OR(A39="",B39="",C39="",D39="",F39="",I39="",K39="",L39="",M39=""),"INCOMPLET",IF(D39&lt;=C39,"HORAIRES INVALIDES",IF(OR(C39&lt;Paramètres!$B$3,D39&gt;Paramètres!$B$4),"HORS PLAGE",IF(P39&lt;&gt;"OK",P39,IF(Q39&lt;&gt;"OK",Q39,IF(R39&lt;&gt;"OK",R39,IF(S39&lt;&gt;"OK",S39,"OK")))))))))</f>
        <v/>
      </c>
    </row>
    <row r="40">
      <c r="A40" s="12" t="n"/>
      <c r="B40" s="24" t="n"/>
      <c r="C40" s="25" t="n"/>
      <c r="D40" s="25" t="n"/>
      <c r="E40" s="15">
        <f>IF(OR(C40="",D40=""),"",IF(D40&gt;C40,(D40-C40)*24,""))</f>
        <v/>
      </c>
      <c r="F40" s="12" t="n"/>
      <c r="G40" s="16">
        <f>IF(F40="","",IFERROR(_xlfn.XLOOKUP(F40,Intervenants!$A$2:$A$101,Intervenants!$B$2:$B$101),"ID inconnu"))</f>
        <v/>
      </c>
      <c r="H40" s="16">
        <f>IF(F40="","",IFERROR(_xlfn.XLOOKUP(F40,Intervenants!$A$2:$A$101,Intervenants!$C$2:$C$101),"ID inconnu"))</f>
        <v/>
      </c>
      <c r="I40" s="12" t="n"/>
      <c r="J40" s="16">
        <f>IF(I40="","",IFERROR(_xlfn.XLOOKUP(I40,Chantiers_Zones!$B$2:$B$101,Chantiers_Zones!$C$2:$C$101),"CHANTIER INCONNU"))</f>
        <v/>
      </c>
      <c r="K40" s="12" t="n"/>
      <c r="L40" s="12" t="n"/>
      <c r="M40" s="8" t="n"/>
      <c r="N40" s="8" t="n"/>
      <c r="O40" s="17" t="n"/>
      <c r="P40" s="9">
        <f>IF(M40="Annulée","OK",IF(OR(B40="",C40="",D40="",F40=""),"",IF(COUNTIFS($F$7:$F$206,F40,$B$7:$B$206,B40,$C$7:$C$206,"&lt;"&amp;D40,$D$7:$D$206,"&gt;"&amp;C40,$M$7:$M$206,"&lt;&gt;Annulée")&gt;1,"DOUBLE RÉSERVATION","OK")))</f>
        <v/>
      </c>
      <c r="Q40" s="9">
        <f>IF(M40="Annulée","OK",IF(OR(B40="",C40="",D40="",F40=""),"",IF(SUMPRODUCT((Indisponibilités!$A$2:$A$101=F40)*((Indisponibilités!$B$2:$B$101+Indisponibilités!$C$2:$C$101)&lt;(B40+D40))*((Indisponibilités!$D$2:$D$101+Indisponibilités!$E$2:$E$101)&gt;(B40+C40)))&gt;0,"INDISPONIBLE","OK")))</f>
        <v/>
      </c>
      <c r="R40" s="9">
        <f>IF(OR(I40="",K40=""),"",IF(COUNTIFS(Chantiers_Zones!$B$2:$B$101,I40,Chantiers_Zones!$D$2:$D$101,K40,Chantiers_Zones!$E$2:$E$101,"Oui")&gt;0,"OK","ZONE INVALIDE"))</f>
        <v/>
      </c>
      <c r="S40" s="9">
        <f>IF(OR(B40="",I40=""),"",IFERROR(IF(AND(B40&gt;=_xlfn.XLOOKUP(I40,Chantiers_Zones!$B$2:$B$101,Chantiers_Zones!$F$2:$F$101),B40&lt;=_xlfn.XLOOKUP(I40,Chantiers_Zones!$B$2:$B$101,Chantiers_Zones!$G$2:$G$101)),"OK","HORS PÉRIODE"),"CHANTIER INCONNU"))</f>
        <v/>
      </c>
      <c r="T40" s="9">
        <f>IF(COUNTA(A40:D40,F40,I40,K40:O40)=0,"",IF(M40="Annulée","OK",IF(OR(A40="",B40="",C40="",D40="",F40="",I40="",K40="",L40="",M40=""),"INCOMPLET",IF(D40&lt;=C40,"HORAIRES INVALIDES",IF(OR(C40&lt;Paramètres!$B$3,D40&gt;Paramètres!$B$4),"HORS PLAGE",IF(P40&lt;&gt;"OK",P40,IF(Q40&lt;&gt;"OK",Q40,IF(R40&lt;&gt;"OK",R40,IF(S40&lt;&gt;"OK",S40,"OK")))))))))</f>
        <v/>
      </c>
    </row>
    <row r="41">
      <c r="A41" s="12" t="n"/>
      <c r="B41" s="24" t="n"/>
      <c r="C41" s="25" t="n"/>
      <c r="D41" s="25" t="n"/>
      <c r="E41" s="15">
        <f>IF(OR(C41="",D41=""),"",IF(D41&gt;C41,(D41-C41)*24,""))</f>
        <v/>
      </c>
      <c r="F41" s="12" t="n"/>
      <c r="G41" s="16">
        <f>IF(F41="","",IFERROR(_xlfn.XLOOKUP(F41,Intervenants!$A$2:$A$101,Intervenants!$B$2:$B$101),"ID inconnu"))</f>
        <v/>
      </c>
      <c r="H41" s="16">
        <f>IF(F41="","",IFERROR(_xlfn.XLOOKUP(F41,Intervenants!$A$2:$A$101,Intervenants!$C$2:$C$101),"ID inconnu"))</f>
        <v/>
      </c>
      <c r="I41" s="12" t="n"/>
      <c r="J41" s="16">
        <f>IF(I41="","",IFERROR(_xlfn.XLOOKUP(I41,Chantiers_Zones!$B$2:$B$101,Chantiers_Zones!$C$2:$C$101),"CHANTIER INCONNU"))</f>
        <v/>
      </c>
      <c r="K41" s="12" t="n"/>
      <c r="L41" s="12" t="n"/>
      <c r="M41" s="8" t="n"/>
      <c r="N41" s="8" t="n"/>
      <c r="O41" s="17" t="n"/>
      <c r="P41" s="9">
        <f>IF(M41="Annulée","OK",IF(OR(B41="",C41="",D41="",F41=""),"",IF(COUNTIFS($F$7:$F$206,F41,$B$7:$B$206,B41,$C$7:$C$206,"&lt;"&amp;D41,$D$7:$D$206,"&gt;"&amp;C41,$M$7:$M$206,"&lt;&gt;Annulée")&gt;1,"DOUBLE RÉSERVATION","OK")))</f>
        <v/>
      </c>
      <c r="Q41" s="9">
        <f>IF(M41="Annulée","OK",IF(OR(B41="",C41="",D41="",F41=""),"",IF(SUMPRODUCT((Indisponibilités!$A$2:$A$101=F41)*((Indisponibilités!$B$2:$B$101+Indisponibilités!$C$2:$C$101)&lt;(B41+D41))*((Indisponibilités!$D$2:$D$101+Indisponibilités!$E$2:$E$101)&gt;(B41+C41)))&gt;0,"INDISPONIBLE","OK")))</f>
        <v/>
      </c>
      <c r="R41" s="9">
        <f>IF(OR(I41="",K41=""),"",IF(COUNTIFS(Chantiers_Zones!$B$2:$B$101,I41,Chantiers_Zones!$D$2:$D$101,K41,Chantiers_Zones!$E$2:$E$101,"Oui")&gt;0,"OK","ZONE INVALIDE"))</f>
        <v/>
      </c>
      <c r="S41" s="9">
        <f>IF(OR(B41="",I41=""),"",IFERROR(IF(AND(B41&gt;=_xlfn.XLOOKUP(I41,Chantiers_Zones!$B$2:$B$101,Chantiers_Zones!$F$2:$F$101),B41&lt;=_xlfn.XLOOKUP(I41,Chantiers_Zones!$B$2:$B$101,Chantiers_Zones!$G$2:$G$101)),"OK","HORS PÉRIODE"),"CHANTIER INCONNU"))</f>
        <v/>
      </c>
      <c r="T41" s="9">
        <f>IF(COUNTA(A41:D41,F41,I41,K41:O41)=0,"",IF(M41="Annulée","OK",IF(OR(A41="",B41="",C41="",D41="",F41="",I41="",K41="",L41="",M41=""),"INCOMPLET",IF(D41&lt;=C41,"HORAIRES INVALIDES",IF(OR(C41&lt;Paramètres!$B$3,D41&gt;Paramètres!$B$4),"HORS PLAGE",IF(P41&lt;&gt;"OK",P41,IF(Q41&lt;&gt;"OK",Q41,IF(R41&lt;&gt;"OK",R41,IF(S41&lt;&gt;"OK",S41,"OK")))))))))</f>
        <v/>
      </c>
    </row>
    <row r="42">
      <c r="A42" s="12" t="n"/>
      <c r="B42" s="24" t="n"/>
      <c r="C42" s="25" t="n"/>
      <c r="D42" s="25" t="n"/>
      <c r="E42" s="15">
        <f>IF(OR(C42="",D42=""),"",IF(D42&gt;C42,(D42-C42)*24,""))</f>
        <v/>
      </c>
      <c r="F42" s="12" t="n"/>
      <c r="G42" s="16">
        <f>IF(F42="","",IFERROR(_xlfn.XLOOKUP(F42,Intervenants!$A$2:$A$101,Intervenants!$B$2:$B$101),"ID inconnu"))</f>
        <v/>
      </c>
      <c r="H42" s="16">
        <f>IF(F42="","",IFERROR(_xlfn.XLOOKUP(F42,Intervenants!$A$2:$A$101,Intervenants!$C$2:$C$101),"ID inconnu"))</f>
        <v/>
      </c>
      <c r="I42" s="12" t="n"/>
      <c r="J42" s="16">
        <f>IF(I42="","",IFERROR(_xlfn.XLOOKUP(I42,Chantiers_Zones!$B$2:$B$101,Chantiers_Zones!$C$2:$C$101),"CHANTIER INCONNU"))</f>
        <v/>
      </c>
      <c r="K42" s="12" t="n"/>
      <c r="L42" s="12" t="n"/>
      <c r="M42" s="8" t="n"/>
      <c r="N42" s="8" t="n"/>
      <c r="O42" s="17" t="n"/>
      <c r="P42" s="9">
        <f>IF(M42="Annulée","OK",IF(OR(B42="",C42="",D42="",F42=""),"",IF(COUNTIFS($F$7:$F$206,F42,$B$7:$B$206,B42,$C$7:$C$206,"&lt;"&amp;D42,$D$7:$D$206,"&gt;"&amp;C42,$M$7:$M$206,"&lt;&gt;Annulée")&gt;1,"DOUBLE RÉSERVATION","OK")))</f>
        <v/>
      </c>
      <c r="Q42" s="9">
        <f>IF(M42="Annulée","OK",IF(OR(B42="",C42="",D42="",F42=""),"",IF(SUMPRODUCT((Indisponibilités!$A$2:$A$101=F42)*((Indisponibilités!$B$2:$B$101+Indisponibilités!$C$2:$C$101)&lt;(B42+D42))*((Indisponibilités!$D$2:$D$101+Indisponibilités!$E$2:$E$101)&gt;(B42+C42)))&gt;0,"INDISPONIBLE","OK")))</f>
        <v/>
      </c>
      <c r="R42" s="9">
        <f>IF(OR(I42="",K42=""),"",IF(COUNTIFS(Chantiers_Zones!$B$2:$B$101,I42,Chantiers_Zones!$D$2:$D$101,K42,Chantiers_Zones!$E$2:$E$101,"Oui")&gt;0,"OK","ZONE INVALIDE"))</f>
        <v/>
      </c>
      <c r="S42" s="9">
        <f>IF(OR(B42="",I42=""),"",IFERROR(IF(AND(B42&gt;=_xlfn.XLOOKUP(I42,Chantiers_Zones!$B$2:$B$101,Chantiers_Zones!$F$2:$F$101),B42&lt;=_xlfn.XLOOKUP(I42,Chantiers_Zones!$B$2:$B$101,Chantiers_Zones!$G$2:$G$101)),"OK","HORS PÉRIODE"),"CHANTIER INCONNU"))</f>
        <v/>
      </c>
      <c r="T42" s="9">
        <f>IF(COUNTA(A42:D42,F42,I42,K42:O42)=0,"",IF(M42="Annulée","OK",IF(OR(A42="",B42="",C42="",D42="",F42="",I42="",K42="",L42="",M42=""),"INCOMPLET",IF(D42&lt;=C42,"HORAIRES INVALIDES",IF(OR(C42&lt;Paramètres!$B$3,D42&gt;Paramètres!$B$4),"HORS PLAGE",IF(P42&lt;&gt;"OK",P42,IF(Q42&lt;&gt;"OK",Q42,IF(R42&lt;&gt;"OK",R42,IF(S42&lt;&gt;"OK",S42,"OK")))))))))</f>
        <v/>
      </c>
    </row>
    <row r="43">
      <c r="A43" s="12" t="n"/>
      <c r="B43" s="24" t="n"/>
      <c r="C43" s="25" t="n"/>
      <c r="D43" s="25" t="n"/>
      <c r="E43" s="15">
        <f>IF(OR(C43="",D43=""),"",IF(D43&gt;C43,(D43-C43)*24,""))</f>
        <v/>
      </c>
      <c r="F43" s="12" t="n"/>
      <c r="G43" s="16">
        <f>IF(F43="","",IFERROR(_xlfn.XLOOKUP(F43,Intervenants!$A$2:$A$101,Intervenants!$B$2:$B$101),"ID inconnu"))</f>
        <v/>
      </c>
      <c r="H43" s="16">
        <f>IF(F43="","",IFERROR(_xlfn.XLOOKUP(F43,Intervenants!$A$2:$A$101,Intervenants!$C$2:$C$101),"ID inconnu"))</f>
        <v/>
      </c>
      <c r="I43" s="12" t="n"/>
      <c r="J43" s="16">
        <f>IF(I43="","",IFERROR(_xlfn.XLOOKUP(I43,Chantiers_Zones!$B$2:$B$101,Chantiers_Zones!$C$2:$C$101),"CHANTIER INCONNU"))</f>
        <v/>
      </c>
      <c r="K43" s="12" t="n"/>
      <c r="L43" s="12" t="n"/>
      <c r="M43" s="8" t="n"/>
      <c r="N43" s="8" t="n"/>
      <c r="O43" s="17" t="n"/>
      <c r="P43" s="9">
        <f>IF(M43="Annulée","OK",IF(OR(B43="",C43="",D43="",F43=""),"",IF(COUNTIFS($F$7:$F$206,F43,$B$7:$B$206,B43,$C$7:$C$206,"&lt;"&amp;D43,$D$7:$D$206,"&gt;"&amp;C43,$M$7:$M$206,"&lt;&gt;Annulée")&gt;1,"DOUBLE RÉSERVATION","OK")))</f>
        <v/>
      </c>
      <c r="Q43" s="9">
        <f>IF(M43="Annulée","OK",IF(OR(B43="",C43="",D43="",F43=""),"",IF(SUMPRODUCT((Indisponibilités!$A$2:$A$101=F43)*((Indisponibilités!$B$2:$B$101+Indisponibilités!$C$2:$C$101)&lt;(B43+D43))*((Indisponibilités!$D$2:$D$101+Indisponibilités!$E$2:$E$101)&gt;(B43+C43)))&gt;0,"INDISPONIBLE","OK")))</f>
        <v/>
      </c>
      <c r="R43" s="9">
        <f>IF(OR(I43="",K43=""),"",IF(COUNTIFS(Chantiers_Zones!$B$2:$B$101,I43,Chantiers_Zones!$D$2:$D$101,K43,Chantiers_Zones!$E$2:$E$101,"Oui")&gt;0,"OK","ZONE INVALIDE"))</f>
        <v/>
      </c>
      <c r="S43" s="9">
        <f>IF(OR(B43="",I43=""),"",IFERROR(IF(AND(B43&gt;=_xlfn.XLOOKUP(I43,Chantiers_Zones!$B$2:$B$101,Chantiers_Zones!$F$2:$F$101),B43&lt;=_xlfn.XLOOKUP(I43,Chantiers_Zones!$B$2:$B$101,Chantiers_Zones!$G$2:$G$101)),"OK","HORS PÉRIODE"),"CHANTIER INCONNU"))</f>
        <v/>
      </c>
      <c r="T43" s="9">
        <f>IF(COUNTA(A43:D43,F43,I43,K43:O43)=0,"",IF(M43="Annulée","OK",IF(OR(A43="",B43="",C43="",D43="",F43="",I43="",K43="",L43="",M43=""),"INCOMPLET",IF(D43&lt;=C43,"HORAIRES INVALIDES",IF(OR(C43&lt;Paramètres!$B$3,D43&gt;Paramètres!$B$4),"HORS PLAGE",IF(P43&lt;&gt;"OK",P43,IF(Q43&lt;&gt;"OK",Q43,IF(R43&lt;&gt;"OK",R43,IF(S43&lt;&gt;"OK",S43,"OK")))))))))</f>
        <v/>
      </c>
    </row>
    <row r="44">
      <c r="A44" s="12" t="n"/>
      <c r="B44" s="24" t="n"/>
      <c r="C44" s="25" t="n"/>
      <c r="D44" s="25" t="n"/>
      <c r="E44" s="15">
        <f>IF(OR(C44="",D44=""),"",IF(D44&gt;C44,(D44-C44)*24,""))</f>
        <v/>
      </c>
      <c r="F44" s="12" t="n"/>
      <c r="G44" s="16">
        <f>IF(F44="","",IFERROR(_xlfn.XLOOKUP(F44,Intervenants!$A$2:$A$101,Intervenants!$B$2:$B$101),"ID inconnu"))</f>
        <v/>
      </c>
      <c r="H44" s="16">
        <f>IF(F44="","",IFERROR(_xlfn.XLOOKUP(F44,Intervenants!$A$2:$A$101,Intervenants!$C$2:$C$101),"ID inconnu"))</f>
        <v/>
      </c>
      <c r="I44" s="12" t="n"/>
      <c r="J44" s="16">
        <f>IF(I44="","",IFERROR(_xlfn.XLOOKUP(I44,Chantiers_Zones!$B$2:$B$101,Chantiers_Zones!$C$2:$C$101),"CHANTIER INCONNU"))</f>
        <v/>
      </c>
      <c r="K44" s="12" t="n"/>
      <c r="L44" s="12" t="n"/>
      <c r="M44" s="8" t="n"/>
      <c r="N44" s="8" t="n"/>
      <c r="O44" s="17" t="n"/>
      <c r="P44" s="9">
        <f>IF(M44="Annulée","OK",IF(OR(B44="",C44="",D44="",F44=""),"",IF(COUNTIFS($F$7:$F$206,F44,$B$7:$B$206,B44,$C$7:$C$206,"&lt;"&amp;D44,$D$7:$D$206,"&gt;"&amp;C44,$M$7:$M$206,"&lt;&gt;Annulée")&gt;1,"DOUBLE RÉSERVATION","OK")))</f>
        <v/>
      </c>
      <c r="Q44" s="9">
        <f>IF(M44="Annulée","OK",IF(OR(B44="",C44="",D44="",F44=""),"",IF(SUMPRODUCT((Indisponibilités!$A$2:$A$101=F44)*((Indisponibilités!$B$2:$B$101+Indisponibilités!$C$2:$C$101)&lt;(B44+D44))*((Indisponibilités!$D$2:$D$101+Indisponibilités!$E$2:$E$101)&gt;(B44+C44)))&gt;0,"INDISPONIBLE","OK")))</f>
        <v/>
      </c>
      <c r="R44" s="9">
        <f>IF(OR(I44="",K44=""),"",IF(COUNTIFS(Chantiers_Zones!$B$2:$B$101,I44,Chantiers_Zones!$D$2:$D$101,K44,Chantiers_Zones!$E$2:$E$101,"Oui")&gt;0,"OK","ZONE INVALIDE"))</f>
        <v/>
      </c>
      <c r="S44" s="9">
        <f>IF(OR(B44="",I44=""),"",IFERROR(IF(AND(B44&gt;=_xlfn.XLOOKUP(I44,Chantiers_Zones!$B$2:$B$101,Chantiers_Zones!$F$2:$F$101),B44&lt;=_xlfn.XLOOKUP(I44,Chantiers_Zones!$B$2:$B$101,Chantiers_Zones!$G$2:$G$101)),"OK","HORS PÉRIODE"),"CHANTIER INCONNU"))</f>
        <v/>
      </c>
      <c r="T44" s="9">
        <f>IF(COUNTA(A44:D44,F44,I44,K44:O44)=0,"",IF(M44="Annulée","OK",IF(OR(A44="",B44="",C44="",D44="",F44="",I44="",K44="",L44="",M44=""),"INCOMPLET",IF(D44&lt;=C44,"HORAIRES INVALIDES",IF(OR(C44&lt;Paramètres!$B$3,D44&gt;Paramètres!$B$4),"HORS PLAGE",IF(P44&lt;&gt;"OK",P44,IF(Q44&lt;&gt;"OK",Q44,IF(R44&lt;&gt;"OK",R44,IF(S44&lt;&gt;"OK",S44,"OK")))))))))</f>
        <v/>
      </c>
    </row>
    <row r="45">
      <c r="A45" s="12" t="n"/>
      <c r="B45" s="24" t="n"/>
      <c r="C45" s="25" t="n"/>
      <c r="D45" s="25" t="n"/>
      <c r="E45" s="15">
        <f>IF(OR(C45="",D45=""),"",IF(D45&gt;C45,(D45-C45)*24,""))</f>
        <v/>
      </c>
      <c r="F45" s="12" t="n"/>
      <c r="G45" s="16">
        <f>IF(F45="","",IFERROR(_xlfn.XLOOKUP(F45,Intervenants!$A$2:$A$101,Intervenants!$B$2:$B$101),"ID inconnu"))</f>
        <v/>
      </c>
      <c r="H45" s="16">
        <f>IF(F45="","",IFERROR(_xlfn.XLOOKUP(F45,Intervenants!$A$2:$A$101,Intervenants!$C$2:$C$101),"ID inconnu"))</f>
        <v/>
      </c>
      <c r="I45" s="12" t="n"/>
      <c r="J45" s="16">
        <f>IF(I45="","",IFERROR(_xlfn.XLOOKUP(I45,Chantiers_Zones!$B$2:$B$101,Chantiers_Zones!$C$2:$C$101),"CHANTIER INCONNU"))</f>
        <v/>
      </c>
      <c r="K45" s="12" t="n"/>
      <c r="L45" s="12" t="n"/>
      <c r="M45" s="8" t="n"/>
      <c r="N45" s="8" t="n"/>
      <c r="O45" s="17" t="n"/>
      <c r="P45" s="9">
        <f>IF(M45="Annulée","OK",IF(OR(B45="",C45="",D45="",F45=""),"",IF(COUNTIFS($F$7:$F$206,F45,$B$7:$B$206,B45,$C$7:$C$206,"&lt;"&amp;D45,$D$7:$D$206,"&gt;"&amp;C45,$M$7:$M$206,"&lt;&gt;Annulée")&gt;1,"DOUBLE RÉSERVATION","OK")))</f>
        <v/>
      </c>
      <c r="Q45" s="9">
        <f>IF(M45="Annulée","OK",IF(OR(B45="",C45="",D45="",F45=""),"",IF(SUMPRODUCT((Indisponibilités!$A$2:$A$101=F45)*((Indisponibilités!$B$2:$B$101+Indisponibilités!$C$2:$C$101)&lt;(B45+D45))*((Indisponibilités!$D$2:$D$101+Indisponibilités!$E$2:$E$101)&gt;(B45+C45)))&gt;0,"INDISPONIBLE","OK")))</f>
        <v/>
      </c>
      <c r="R45" s="9">
        <f>IF(OR(I45="",K45=""),"",IF(COUNTIFS(Chantiers_Zones!$B$2:$B$101,I45,Chantiers_Zones!$D$2:$D$101,K45,Chantiers_Zones!$E$2:$E$101,"Oui")&gt;0,"OK","ZONE INVALIDE"))</f>
        <v/>
      </c>
      <c r="S45" s="9">
        <f>IF(OR(B45="",I45=""),"",IFERROR(IF(AND(B45&gt;=_xlfn.XLOOKUP(I45,Chantiers_Zones!$B$2:$B$101,Chantiers_Zones!$F$2:$F$101),B45&lt;=_xlfn.XLOOKUP(I45,Chantiers_Zones!$B$2:$B$101,Chantiers_Zones!$G$2:$G$101)),"OK","HORS PÉRIODE"),"CHANTIER INCONNU"))</f>
        <v/>
      </c>
      <c r="T45" s="9">
        <f>IF(COUNTA(A45:D45,F45,I45,K45:O45)=0,"",IF(M45="Annulée","OK",IF(OR(A45="",B45="",C45="",D45="",F45="",I45="",K45="",L45="",M45=""),"INCOMPLET",IF(D45&lt;=C45,"HORAIRES INVALIDES",IF(OR(C45&lt;Paramètres!$B$3,D45&gt;Paramètres!$B$4),"HORS PLAGE",IF(P45&lt;&gt;"OK",P45,IF(Q45&lt;&gt;"OK",Q45,IF(R45&lt;&gt;"OK",R45,IF(S45&lt;&gt;"OK",S45,"OK")))))))))</f>
        <v/>
      </c>
    </row>
    <row r="46">
      <c r="A46" s="12" t="n"/>
      <c r="B46" s="24" t="n"/>
      <c r="C46" s="25" t="n"/>
      <c r="D46" s="25" t="n"/>
      <c r="E46" s="15">
        <f>IF(OR(C46="",D46=""),"",IF(D46&gt;C46,(D46-C46)*24,""))</f>
        <v/>
      </c>
      <c r="F46" s="12" t="n"/>
      <c r="G46" s="16">
        <f>IF(F46="","",IFERROR(_xlfn.XLOOKUP(F46,Intervenants!$A$2:$A$101,Intervenants!$B$2:$B$101),"ID inconnu"))</f>
        <v/>
      </c>
      <c r="H46" s="16">
        <f>IF(F46="","",IFERROR(_xlfn.XLOOKUP(F46,Intervenants!$A$2:$A$101,Intervenants!$C$2:$C$101),"ID inconnu"))</f>
        <v/>
      </c>
      <c r="I46" s="12" t="n"/>
      <c r="J46" s="16">
        <f>IF(I46="","",IFERROR(_xlfn.XLOOKUP(I46,Chantiers_Zones!$B$2:$B$101,Chantiers_Zones!$C$2:$C$101),"CHANTIER INCONNU"))</f>
        <v/>
      </c>
      <c r="K46" s="12" t="n"/>
      <c r="L46" s="12" t="n"/>
      <c r="M46" s="8" t="n"/>
      <c r="N46" s="8" t="n"/>
      <c r="O46" s="17" t="n"/>
      <c r="P46" s="9">
        <f>IF(M46="Annulée","OK",IF(OR(B46="",C46="",D46="",F46=""),"",IF(COUNTIFS($F$7:$F$206,F46,$B$7:$B$206,B46,$C$7:$C$206,"&lt;"&amp;D46,$D$7:$D$206,"&gt;"&amp;C46,$M$7:$M$206,"&lt;&gt;Annulée")&gt;1,"DOUBLE RÉSERVATION","OK")))</f>
        <v/>
      </c>
      <c r="Q46" s="9">
        <f>IF(M46="Annulée","OK",IF(OR(B46="",C46="",D46="",F46=""),"",IF(SUMPRODUCT((Indisponibilités!$A$2:$A$101=F46)*((Indisponibilités!$B$2:$B$101+Indisponibilités!$C$2:$C$101)&lt;(B46+D46))*((Indisponibilités!$D$2:$D$101+Indisponibilités!$E$2:$E$101)&gt;(B46+C46)))&gt;0,"INDISPONIBLE","OK")))</f>
        <v/>
      </c>
      <c r="R46" s="9">
        <f>IF(OR(I46="",K46=""),"",IF(COUNTIFS(Chantiers_Zones!$B$2:$B$101,I46,Chantiers_Zones!$D$2:$D$101,K46,Chantiers_Zones!$E$2:$E$101,"Oui")&gt;0,"OK","ZONE INVALIDE"))</f>
        <v/>
      </c>
      <c r="S46" s="9">
        <f>IF(OR(B46="",I46=""),"",IFERROR(IF(AND(B46&gt;=_xlfn.XLOOKUP(I46,Chantiers_Zones!$B$2:$B$101,Chantiers_Zones!$F$2:$F$101),B46&lt;=_xlfn.XLOOKUP(I46,Chantiers_Zones!$B$2:$B$101,Chantiers_Zones!$G$2:$G$101)),"OK","HORS PÉRIODE"),"CHANTIER INCONNU"))</f>
        <v/>
      </c>
      <c r="T46" s="9">
        <f>IF(COUNTA(A46:D46,F46,I46,K46:O46)=0,"",IF(M46="Annulée","OK",IF(OR(A46="",B46="",C46="",D46="",F46="",I46="",K46="",L46="",M46=""),"INCOMPLET",IF(D46&lt;=C46,"HORAIRES INVALIDES",IF(OR(C46&lt;Paramètres!$B$3,D46&gt;Paramètres!$B$4),"HORS PLAGE",IF(P46&lt;&gt;"OK",P46,IF(Q46&lt;&gt;"OK",Q46,IF(R46&lt;&gt;"OK",R46,IF(S46&lt;&gt;"OK",S46,"OK")))))))))</f>
        <v/>
      </c>
    </row>
    <row r="47">
      <c r="A47" s="12" t="n"/>
      <c r="B47" s="24" t="n"/>
      <c r="C47" s="25" t="n"/>
      <c r="D47" s="25" t="n"/>
      <c r="E47" s="15">
        <f>IF(OR(C47="",D47=""),"",IF(D47&gt;C47,(D47-C47)*24,""))</f>
        <v/>
      </c>
      <c r="F47" s="12" t="n"/>
      <c r="G47" s="16">
        <f>IF(F47="","",IFERROR(_xlfn.XLOOKUP(F47,Intervenants!$A$2:$A$101,Intervenants!$B$2:$B$101),"ID inconnu"))</f>
        <v/>
      </c>
      <c r="H47" s="16">
        <f>IF(F47="","",IFERROR(_xlfn.XLOOKUP(F47,Intervenants!$A$2:$A$101,Intervenants!$C$2:$C$101),"ID inconnu"))</f>
        <v/>
      </c>
      <c r="I47" s="12" t="n"/>
      <c r="J47" s="16">
        <f>IF(I47="","",IFERROR(_xlfn.XLOOKUP(I47,Chantiers_Zones!$B$2:$B$101,Chantiers_Zones!$C$2:$C$101),"CHANTIER INCONNU"))</f>
        <v/>
      </c>
      <c r="K47" s="12" t="n"/>
      <c r="L47" s="12" t="n"/>
      <c r="M47" s="8" t="n"/>
      <c r="N47" s="8" t="n"/>
      <c r="O47" s="17" t="n"/>
      <c r="P47" s="9">
        <f>IF(M47="Annulée","OK",IF(OR(B47="",C47="",D47="",F47=""),"",IF(COUNTIFS($F$7:$F$206,F47,$B$7:$B$206,B47,$C$7:$C$206,"&lt;"&amp;D47,$D$7:$D$206,"&gt;"&amp;C47,$M$7:$M$206,"&lt;&gt;Annulée")&gt;1,"DOUBLE RÉSERVATION","OK")))</f>
        <v/>
      </c>
      <c r="Q47" s="9">
        <f>IF(M47="Annulée","OK",IF(OR(B47="",C47="",D47="",F47=""),"",IF(SUMPRODUCT((Indisponibilités!$A$2:$A$101=F47)*((Indisponibilités!$B$2:$B$101+Indisponibilités!$C$2:$C$101)&lt;(B47+D47))*((Indisponibilités!$D$2:$D$101+Indisponibilités!$E$2:$E$101)&gt;(B47+C47)))&gt;0,"INDISPONIBLE","OK")))</f>
        <v/>
      </c>
      <c r="R47" s="9">
        <f>IF(OR(I47="",K47=""),"",IF(COUNTIFS(Chantiers_Zones!$B$2:$B$101,I47,Chantiers_Zones!$D$2:$D$101,K47,Chantiers_Zones!$E$2:$E$101,"Oui")&gt;0,"OK","ZONE INVALIDE"))</f>
        <v/>
      </c>
      <c r="S47" s="9">
        <f>IF(OR(B47="",I47=""),"",IFERROR(IF(AND(B47&gt;=_xlfn.XLOOKUP(I47,Chantiers_Zones!$B$2:$B$101,Chantiers_Zones!$F$2:$F$101),B47&lt;=_xlfn.XLOOKUP(I47,Chantiers_Zones!$B$2:$B$101,Chantiers_Zones!$G$2:$G$101)),"OK","HORS PÉRIODE"),"CHANTIER INCONNU"))</f>
        <v/>
      </c>
      <c r="T47" s="9">
        <f>IF(COUNTA(A47:D47,F47,I47,K47:O47)=0,"",IF(M47="Annulée","OK",IF(OR(A47="",B47="",C47="",D47="",F47="",I47="",K47="",L47="",M47=""),"INCOMPLET",IF(D47&lt;=C47,"HORAIRES INVALIDES",IF(OR(C47&lt;Paramètres!$B$3,D47&gt;Paramètres!$B$4),"HORS PLAGE",IF(P47&lt;&gt;"OK",P47,IF(Q47&lt;&gt;"OK",Q47,IF(R47&lt;&gt;"OK",R47,IF(S47&lt;&gt;"OK",S47,"OK")))))))))</f>
        <v/>
      </c>
    </row>
    <row r="48">
      <c r="A48" s="12" t="n"/>
      <c r="B48" s="24" t="n"/>
      <c r="C48" s="25" t="n"/>
      <c r="D48" s="25" t="n"/>
      <c r="E48" s="15">
        <f>IF(OR(C48="",D48=""),"",IF(D48&gt;C48,(D48-C48)*24,""))</f>
        <v/>
      </c>
      <c r="F48" s="12" t="n"/>
      <c r="G48" s="16">
        <f>IF(F48="","",IFERROR(_xlfn.XLOOKUP(F48,Intervenants!$A$2:$A$101,Intervenants!$B$2:$B$101),"ID inconnu"))</f>
        <v/>
      </c>
      <c r="H48" s="16">
        <f>IF(F48="","",IFERROR(_xlfn.XLOOKUP(F48,Intervenants!$A$2:$A$101,Intervenants!$C$2:$C$101),"ID inconnu"))</f>
        <v/>
      </c>
      <c r="I48" s="12" t="n"/>
      <c r="J48" s="16">
        <f>IF(I48="","",IFERROR(_xlfn.XLOOKUP(I48,Chantiers_Zones!$B$2:$B$101,Chantiers_Zones!$C$2:$C$101),"CHANTIER INCONNU"))</f>
        <v/>
      </c>
      <c r="K48" s="12" t="n"/>
      <c r="L48" s="12" t="n"/>
      <c r="M48" s="8" t="n"/>
      <c r="N48" s="8" t="n"/>
      <c r="O48" s="17" t="n"/>
      <c r="P48" s="9">
        <f>IF(M48="Annulée","OK",IF(OR(B48="",C48="",D48="",F48=""),"",IF(COUNTIFS($F$7:$F$206,F48,$B$7:$B$206,B48,$C$7:$C$206,"&lt;"&amp;D48,$D$7:$D$206,"&gt;"&amp;C48,$M$7:$M$206,"&lt;&gt;Annulée")&gt;1,"DOUBLE RÉSERVATION","OK")))</f>
        <v/>
      </c>
      <c r="Q48" s="9">
        <f>IF(M48="Annulée","OK",IF(OR(B48="",C48="",D48="",F48=""),"",IF(SUMPRODUCT((Indisponibilités!$A$2:$A$101=F48)*((Indisponibilités!$B$2:$B$101+Indisponibilités!$C$2:$C$101)&lt;(B48+D48))*((Indisponibilités!$D$2:$D$101+Indisponibilités!$E$2:$E$101)&gt;(B48+C48)))&gt;0,"INDISPONIBLE","OK")))</f>
        <v/>
      </c>
      <c r="R48" s="9">
        <f>IF(OR(I48="",K48=""),"",IF(COUNTIFS(Chantiers_Zones!$B$2:$B$101,I48,Chantiers_Zones!$D$2:$D$101,K48,Chantiers_Zones!$E$2:$E$101,"Oui")&gt;0,"OK","ZONE INVALIDE"))</f>
        <v/>
      </c>
      <c r="S48" s="9">
        <f>IF(OR(B48="",I48=""),"",IFERROR(IF(AND(B48&gt;=_xlfn.XLOOKUP(I48,Chantiers_Zones!$B$2:$B$101,Chantiers_Zones!$F$2:$F$101),B48&lt;=_xlfn.XLOOKUP(I48,Chantiers_Zones!$B$2:$B$101,Chantiers_Zones!$G$2:$G$101)),"OK","HORS PÉRIODE"),"CHANTIER INCONNU"))</f>
        <v/>
      </c>
      <c r="T48" s="9">
        <f>IF(COUNTA(A48:D48,F48,I48,K48:O48)=0,"",IF(M48="Annulée","OK",IF(OR(A48="",B48="",C48="",D48="",F48="",I48="",K48="",L48="",M48=""),"INCOMPLET",IF(D48&lt;=C48,"HORAIRES INVALIDES",IF(OR(C48&lt;Paramètres!$B$3,D48&gt;Paramètres!$B$4),"HORS PLAGE",IF(P48&lt;&gt;"OK",P48,IF(Q48&lt;&gt;"OK",Q48,IF(R48&lt;&gt;"OK",R48,IF(S48&lt;&gt;"OK",S48,"OK")))))))))</f>
        <v/>
      </c>
    </row>
    <row r="49">
      <c r="A49" s="12" t="n"/>
      <c r="B49" s="24" t="n"/>
      <c r="C49" s="25" t="n"/>
      <c r="D49" s="25" t="n"/>
      <c r="E49" s="15">
        <f>IF(OR(C49="",D49=""),"",IF(D49&gt;C49,(D49-C49)*24,""))</f>
        <v/>
      </c>
      <c r="F49" s="12" t="n"/>
      <c r="G49" s="16">
        <f>IF(F49="","",IFERROR(_xlfn.XLOOKUP(F49,Intervenants!$A$2:$A$101,Intervenants!$B$2:$B$101),"ID inconnu"))</f>
        <v/>
      </c>
      <c r="H49" s="16">
        <f>IF(F49="","",IFERROR(_xlfn.XLOOKUP(F49,Intervenants!$A$2:$A$101,Intervenants!$C$2:$C$101),"ID inconnu"))</f>
        <v/>
      </c>
      <c r="I49" s="12" t="n"/>
      <c r="J49" s="16">
        <f>IF(I49="","",IFERROR(_xlfn.XLOOKUP(I49,Chantiers_Zones!$B$2:$B$101,Chantiers_Zones!$C$2:$C$101),"CHANTIER INCONNU"))</f>
        <v/>
      </c>
      <c r="K49" s="12" t="n"/>
      <c r="L49" s="12" t="n"/>
      <c r="M49" s="8" t="n"/>
      <c r="N49" s="8" t="n"/>
      <c r="O49" s="17" t="n"/>
      <c r="P49" s="9">
        <f>IF(M49="Annulée","OK",IF(OR(B49="",C49="",D49="",F49=""),"",IF(COUNTIFS($F$7:$F$206,F49,$B$7:$B$206,B49,$C$7:$C$206,"&lt;"&amp;D49,$D$7:$D$206,"&gt;"&amp;C49,$M$7:$M$206,"&lt;&gt;Annulée")&gt;1,"DOUBLE RÉSERVATION","OK")))</f>
        <v/>
      </c>
      <c r="Q49" s="9">
        <f>IF(M49="Annulée","OK",IF(OR(B49="",C49="",D49="",F49=""),"",IF(SUMPRODUCT((Indisponibilités!$A$2:$A$101=F49)*((Indisponibilités!$B$2:$B$101+Indisponibilités!$C$2:$C$101)&lt;(B49+D49))*((Indisponibilités!$D$2:$D$101+Indisponibilités!$E$2:$E$101)&gt;(B49+C49)))&gt;0,"INDISPONIBLE","OK")))</f>
        <v/>
      </c>
      <c r="R49" s="9">
        <f>IF(OR(I49="",K49=""),"",IF(COUNTIFS(Chantiers_Zones!$B$2:$B$101,I49,Chantiers_Zones!$D$2:$D$101,K49,Chantiers_Zones!$E$2:$E$101,"Oui")&gt;0,"OK","ZONE INVALIDE"))</f>
        <v/>
      </c>
      <c r="S49" s="9">
        <f>IF(OR(B49="",I49=""),"",IFERROR(IF(AND(B49&gt;=_xlfn.XLOOKUP(I49,Chantiers_Zones!$B$2:$B$101,Chantiers_Zones!$F$2:$F$101),B49&lt;=_xlfn.XLOOKUP(I49,Chantiers_Zones!$B$2:$B$101,Chantiers_Zones!$G$2:$G$101)),"OK","HORS PÉRIODE"),"CHANTIER INCONNU"))</f>
        <v/>
      </c>
      <c r="T49" s="9">
        <f>IF(COUNTA(A49:D49,F49,I49,K49:O49)=0,"",IF(M49="Annulée","OK",IF(OR(A49="",B49="",C49="",D49="",F49="",I49="",K49="",L49="",M49=""),"INCOMPLET",IF(D49&lt;=C49,"HORAIRES INVALIDES",IF(OR(C49&lt;Paramètres!$B$3,D49&gt;Paramètres!$B$4),"HORS PLAGE",IF(P49&lt;&gt;"OK",P49,IF(Q49&lt;&gt;"OK",Q49,IF(R49&lt;&gt;"OK",R49,IF(S49&lt;&gt;"OK",S49,"OK")))))))))</f>
        <v/>
      </c>
    </row>
    <row r="50">
      <c r="A50" s="12" t="n"/>
      <c r="B50" s="24" t="n"/>
      <c r="C50" s="25" t="n"/>
      <c r="D50" s="25" t="n"/>
      <c r="E50" s="15">
        <f>IF(OR(C50="",D50=""),"",IF(D50&gt;C50,(D50-C50)*24,""))</f>
        <v/>
      </c>
      <c r="F50" s="12" t="n"/>
      <c r="G50" s="16">
        <f>IF(F50="","",IFERROR(_xlfn.XLOOKUP(F50,Intervenants!$A$2:$A$101,Intervenants!$B$2:$B$101),"ID inconnu"))</f>
        <v/>
      </c>
      <c r="H50" s="16">
        <f>IF(F50="","",IFERROR(_xlfn.XLOOKUP(F50,Intervenants!$A$2:$A$101,Intervenants!$C$2:$C$101),"ID inconnu"))</f>
        <v/>
      </c>
      <c r="I50" s="12" t="n"/>
      <c r="J50" s="16">
        <f>IF(I50="","",IFERROR(_xlfn.XLOOKUP(I50,Chantiers_Zones!$B$2:$B$101,Chantiers_Zones!$C$2:$C$101),"CHANTIER INCONNU"))</f>
        <v/>
      </c>
      <c r="K50" s="12" t="n"/>
      <c r="L50" s="12" t="n"/>
      <c r="M50" s="8" t="n"/>
      <c r="N50" s="8" t="n"/>
      <c r="O50" s="17" t="n"/>
      <c r="P50" s="9">
        <f>IF(M50="Annulée","OK",IF(OR(B50="",C50="",D50="",F50=""),"",IF(COUNTIFS($F$7:$F$206,F50,$B$7:$B$206,B50,$C$7:$C$206,"&lt;"&amp;D50,$D$7:$D$206,"&gt;"&amp;C50,$M$7:$M$206,"&lt;&gt;Annulée")&gt;1,"DOUBLE RÉSERVATION","OK")))</f>
        <v/>
      </c>
      <c r="Q50" s="9">
        <f>IF(M50="Annulée","OK",IF(OR(B50="",C50="",D50="",F50=""),"",IF(SUMPRODUCT((Indisponibilités!$A$2:$A$101=F50)*((Indisponibilités!$B$2:$B$101+Indisponibilités!$C$2:$C$101)&lt;(B50+D50))*((Indisponibilités!$D$2:$D$101+Indisponibilités!$E$2:$E$101)&gt;(B50+C50)))&gt;0,"INDISPONIBLE","OK")))</f>
        <v/>
      </c>
      <c r="R50" s="9">
        <f>IF(OR(I50="",K50=""),"",IF(COUNTIFS(Chantiers_Zones!$B$2:$B$101,I50,Chantiers_Zones!$D$2:$D$101,K50,Chantiers_Zones!$E$2:$E$101,"Oui")&gt;0,"OK","ZONE INVALIDE"))</f>
        <v/>
      </c>
      <c r="S50" s="9">
        <f>IF(OR(B50="",I50=""),"",IFERROR(IF(AND(B50&gt;=_xlfn.XLOOKUP(I50,Chantiers_Zones!$B$2:$B$101,Chantiers_Zones!$F$2:$F$101),B50&lt;=_xlfn.XLOOKUP(I50,Chantiers_Zones!$B$2:$B$101,Chantiers_Zones!$G$2:$G$101)),"OK","HORS PÉRIODE"),"CHANTIER INCONNU"))</f>
        <v/>
      </c>
      <c r="T50" s="9">
        <f>IF(COUNTA(A50:D50,F50,I50,K50:O50)=0,"",IF(M50="Annulée","OK",IF(OR(A50="",B50="",C50="",D50="",F50="",I50="",K50="",L50="",M50=""),"INCOMPLET",IF(D50&lt;=C50,"HORAIRES INVALIDES",IF(OR(C50&lt;Paramètres!$B$3,D50&gt;Paramètres!$B$4),"HORS PLAGE",IF(P50&lt;&gt;"OK",P50,IF(Q50&lt;&gt;"OK",Q50,IF(R50&lt;&gt;"OK",R50,IF(S50&lt;&gt;"OK",S50,"OK")))))))))</f>
        <v/>
      </c>
    </row>
    <row r="51">
      <c r="A51" s="12" t="n"/>
      <c r="B51" s="24" t="n"/>
      <c r="C51" s="25" t="n"/>
      <c r="D51" s="25" t="n"/>
      <c r="E51" s="15">
        <f>IF(OR(C51="",D51=""),"",IF(D51&gt;C51,(D51-C51)*24,""))</f>
        <v/>
      </c>
      <c r="F51" s="12" t="n"/>
      <c r="G51" s="16">
        <f>IF(F51="","",IFERROR(_xlfn.XLOOKUP(F51,Intervenants!$A$2:$A$101,Intervenants!$B$2:$B$101),"ID inconnu"))</f>
        <v/>
      </c>
      <c r="H51" s="16">
        <f>IF(F51="","",IFERROR(_xlfn.XLOOKUP(F51,Intervenants!$A$2:$A$101,Intervenants!$C$2:$C$101),"ID inconnu"))</f>
        <v/>
      </c>
      <c r="I51" s="12" t="n"/>
      <c r="J51" s="16">
        <f>IF(I51="","",IFERROR(_xlfn.XLOOKUP(I51,Chantiers_Zones!$B$2:$B$101,Chantiers_Zones!$C$2:$C$101),"CHANTIER INCONNU"))</f>
        <v/>
      </c>
      <c r="K51" s="12" t="n"/>
      <c r="L51" s="12" t="n"/>
      <c r="M51" s="8" t="n"/>
      <c r="N51" s="8" t="n"/>
      <c r="O51" s="17" t="n"/>
      <c r="P51" s="9">
        <f>IF(M51="Annulée","OK",IF(OR(B51="",C51="",D51="",F51=""),"",IF(COUNTIFS($F$7:$F$206,F51,$B$7:$B$206,B51,$C$7:$C$206,"&lt;"&amp;D51,$D$7:$D$206,"&gt;"&amp;C51,$M$7:$M$206,"&lt;&gt;Annulée")&gt;1,"DOUBLE RÉSERVATION","OK")))</f>
        <v/>
      </c>
      <c r="Q51" s="9">
        <f>IF(M51="Annulée","OK",IF(OR(B51="",C51="",D51="",F51=""),"",IF(SUMPRODUCT((Indisponibilités!$A$2:$A$101=F51)*((Indisponibilités!$B$2:$B$101+Indisponibilités!$C$2:$C$101)&lt;(B51+D51))*((Indisponibilités!$D$2:$D$101+Indisponibilités!$E$2:$E$101)&gt;(B51+C51)))&gt;0,"INDISPONIBLE","OK")))</f>
        <v/>
      </c>
      <c r="R51" s="9">
        <f>IF(OR(I51="",K51=""),"",IF(COUNTIFS(Chantiers_Zones!$B$2:$B$101,I51,Chantiers_Zones!$D$2:$D$101,K51,Chantiers_Zones!$E$2:$E$101,"Oui")&gt;0,"OK","ZONE INVALIDE"))</f>
        <v/>
      </c>
      <c r="S51" s="9">
        <f>IF(OR(B51="",I51=""),"",IFERROR(IF(AND(B51&gt;=_xlfn.XLOOKUP(I51,Chantiers_Zones!$B$2:$B$101,Chantiers_Zones!$F$2:$F$101),B51&lt;=_xlfn.XLOOKUP(I51,Chantiers_Zones!$B$2:$B$101,Chantiers_Zones!$G$2:$G$101)),"OK","HORS PÉRIODE"),"CHANTIER INCONNU"))</f>
        <v/>
      </c>
      <c r="T51" s="9">
        <f>IF(COUNTA(A51:D51,F51,I51,K51:O51)=0,"",IF(M51="Annulée","OK",IF(OR(A51="",B51="",C51="",D51="",F51="",I51="",K51="",L51="",M51=""),"INCOMPLET",IF(D51&lt;=C51,"HORAIRES INVALIDES",IF(OR(C51&lt;Paramètres!$B$3,D51&gt;Paramètres!$B$4),"HORS PLAGE",IF(P51&lt;&gt;"OK",P51,IF(Q51&lt;&gt;"OK",Q51,IF(R51&lt;&gt;"OK",R51,IF(S51&lt;&gt;"OK",S51,"OK")))))))))</f>
        <v/>
      </c>
    </row>
    <row r="52">
      <c r="A52" s="12" t="n"/>
      <c r="B52" s="24" t="n"/>
      <c r="C52" s="25" t="n"/>
      <c r="D52" s="25" t="n"/>
      <c r="E52" s="15">
        <f>IF(OR(C52="",D52=""),"",IF(D52&gt;C52,(D52-C52)*24,""))</f>
        <v/>
      </c>
      <c r="F52" s="12" t="n"/>
      <c r="G52" s="16">
        <f>IF(F52="","",IFERROR(_xlfn.XLOOKUP(F52,Intervenants!$A$2:$A$101,Intervenants!$B$2:$B$101),"ID inconnu"))</f>
        <v/>
      </c>
      <c r="H52" s="16">
        <f>IF(F52="","",IFERROR(_xlfn.XLOOKUP(F52,Intervenants!$A$2:$A$101,Intervenants!$C$2:$C$101),"ID inconnu"))</f>
        <v/>
      </c>
      <c r="I52" s="12" t="n"/>
      <c r="J52" s="16">
        <f>IF(I52="","",IFERROR(_xlfn.XLOOKUP(I52,Chantiers_Zones!$B$2:$B$101,Chantiers_Zones!$C$2:$C$101),"CHANTIER INCONNU"))</f>
        <v/>
      </c>
      <c r="K52" s="12" t="n"/>
      <c r="L52" s="12" t="n"/>
      <c r="M52" s="8" t="n"/>
      <c r="N52" s="8" t="n"/>
      <c r="O52" s="17" t="n"/>
      <c r="P52" s="9">
        <f>IF(M52="Annulée","OK",IF(OR(B52="",C52="",D52="",F52=""),"",IF(COUNTIFS($F$7:$F$206,F52,$B$7:$B$206,B52,$C$7:$C$206,"&lt;"&amp;D52,$D$7:$D$206,"&gt;"&amp;C52,$M$7:$M$206,"&lt;&gt;Annulée")&gt;1,"DOUBLE RÉSERVATION","OK")))</f>
        <v/>
      </c>
      <c r="Q52" s="9">
        <f>IF(M52="Annulée","OK",IF(OR(B52="",C52="",D52="",F52=""),"",IF(SUMPRODUCT((Indisponibilités!$A$2:$A$101=F52)*((Indisponibilités!$B$2:$B$101+Indisponibilités!$C$2:$C$101)&lt;(B52+D52))*((Indisponibilités!$D$2:$D$101+Indisponibilités!$E$2:$E$101)&gt;(B52+C52)))&gt;0,"INDISPONIBLE","OK")))</f>
        <v/>
      </c>
      <c r="R52" s="9">
        <f>IF(OR(I52="",K52=""),"",IF(COUNTIFS(Chantiers_Zones!$B$2:$B$101,I52,Chantiers_Zones!$D$2:$D$101,K52,Chantiers_Zones!$E$2:$E$101,"Oui")&gt;0,"OK","ZONE INVALIDE"))</f>
        <v/>
      </c>
      <c r="S52" s="9">
        <f>IF(OR(B52="",I52=""),"",IFERROR(IF(AND(B52&gt;=_xlfn.XLOOKUP(I52,Chantiers_Zones!$B$2:$B$101,Chantiers_Zones!$F$2:$F$101),B52&lt;=_xlfn.XLOOKUP(I52,Chantiers_Zones!$B$2:$B$101,Chantiers_Zones!$G$2:$G$101)),"OK","HORS PÉRIODE"),"CHANTIER INCONNU"))</f>
        <v/>
      </c>
      <c r="T52" s="9">
        <f>IF(COUNTA(A52:D52,F52,I52,K52:O52)=0,"",IF(M52="Annulée","OK",IF(OR(A52="",B52="",C52="",D52="",F52="",I52="",K52="",L52="",M52=""),"INCOMPLET",IF(D52&lt;=C52,"HORAIRES INVALIDES",IF(OR(C52&lt;Paramètres!$B$3,D52&gt;Paramètres!$B$4),"HORS PLAGE",IF(P52&lt;&gt;"OK",P52,IF(Q52&lt;&gt;"OK",Q52,IF(R52&lt;&gt;"OK",R52,IF(S52&lt;&gt;"OK",S52,"OK")))))))))</f>
        <v/>
      </c>
    </row>
    <row r="53">
      <c r="A53" s="12" t="n"/>
      <c r="B53" s="24" t="n"/>
      <c r="C53" s="25" t="n"/>
      <c r="D53" s="25" t="n"/>
      <c r="E53" s="15">
        <f>IF(OR(C53="",D53=""),"",IF(D53&gt;C53,(D53-C53)*24,""))</f>
        <v/>
      </c>
      <c r="F53" s="12" t="n"/>
      <c r="G53" s="16">
        <f>IF(F53="","",IFERROR(_xlfn.XLOOKUP(F53,Intervenants!$A$2:$A$101,Intervenants!$B$2:$B$101),"ID inconnu"))</f>
        <v/>
      </c>
      <c r="H53" s="16">
        <f>IF(F53="","",IFERROR(_xlfn.XLOOKUP(F53,Intervenants!$A$2:$A$101,Intervenants!$C$2:$C$101),"ID inconnu"))</f>
        <v/>
      </c>
      <c r="I53" s="12" t="n"/>
      <c r="J53" s="16">
        <f>IF(I53="","",IFERROR(_xlfn.XLOOKUP(I53,Chantiers_Zones!$B$2:$B$101,Chantiers_Zones!$C$2:$C$101),"CHANTIER INCONNU"))</f>
        <v/>
      </c>
      <c r="K53" s="12" t="n"/>
      <c r="L53" s="12" t="n"/>
      <c r="M53" s="8" t="n"/>
      <c r="N53" s="8" t="n"/>
      <c r="O53" s="17" t="n"/>
      <c r="P53" s="9">
        <f>IF(M53="Annulée","OK",IF(OR(B53="",C53="",D53="",F53=""),"",IF(COUNTIFS($F$7:$F$206,F53,$B$7:$B$206,B53,$C$7:$C$206,"&lt;"&amp;D53,$D$7:$D$206,"&gt;"&amp;C53,$M$7:$M$206,"&lt;&gt;Annulée")&gt;1,"DOUBLE RÉSERVATION","OK")))</f>
        <v/>
      </c>
      <c r="Q53" s="9">
        <f>IF(M53="Annulée","OK",IF(OR(B53="",C53="",D53="",F53=""),"",IF(SUMPRODUCT((Indisponibilités!$A$2:$A$101=F53)*((Indisponibilités!$B$2:$B$101+Indisponibilités!$C$2:$C$101)&lt;(B53+D53))*((Indisponibilités!$D$2:$D$101+Indisponibilités!$E$2:$E$101)&gt;(B53+C53)))&gt;0,"INDISPONIBLE","OK")))</f>
        <v/>
      </c>
      <c r="R53" s="9">
        <f>IF(OR(I53="",K53=""),"",IF(COUNTIFS(Chantiers_Zones!$B$2:$B$101,I53,Chantiers_Zones!$D$2:$D$101,K53,Chantiers_Zones!$E$2:$E$101,"Oui")&gt;0,"OK","ZONE INVALIDE"))</f>
        <v/>
      </c>
      <c r="S53" s="9">
        <f>IF(OR(B53="",I53=""),"",IFERROR(IF(AND(B53&gt;=_xlfn.XLOOKUP(I53,Chantiers_Zones!$B$2:$B$101,Chantiers_Zones!$F$2:$F$101),B53&lt;=_xlfn.XLOOKUP(I53,Chantiers_Zones!$B$2:$B$101,Chantiers_Zones!$G$2:$G$101)),"OK","HORS PÉRIODE"),"CHANTIER INCONNU"))</f>
        <v/>
      </c>
      <c r="T53" s="9">
        <f>IF(COUNTA(A53:D53,F53,I53,K53:O53)=0,"",IF(M53="Annulée","OK",IF(OR(A53="",B53="",C53="",D53="",F53="",I53="",K53="",L53="",M53=""),"INCOMPLET",IF(D53&lt;=C53,"HORAIRES INVALIDES",IF(OR(C53&lt;Paramètres!$B$3,D53&gt;Paramètres!$B$4),"HORS PLAGE",IF(P53&lt;&gt;"OK",P53,IF(Q53&lt;&gt;"OK",Q53,IF(R53&lt;&gt;"OK",R53,IF(S53&lt;&gt;"OK",S53,"OK")))))))))</f>
        <v/>
      </c>
    </row>
    <row r="54">
      <c r="A54" s="12" t="n"/>
      <c r="B54" s="24" t="n"/>
      <c r="C54" s="25" t="n"/>
      <c r="D54" s="25" t="n"/>
      <c r="E54" s="15">
        <f>IF(OR(C54="",D54=""),"",IF(D54&gt;C54,(D54-C54)*24,""))</f>
        <v/>
      </c>
      <c r="F54" s="12" t="n"/>
      <c r="G54" s="16">
        <f>IF(F54="","",IFERROR(_xlfn.XLOOKUP(F54,Intervenants!$A$2:$A$101,Intervenants!$B$2:$B$101),"ID inconnu"))</f>
        <v/>
      </c>
      <c r="H54" s="16">
        <f>IF(F54="","",IFERROR(_xlfn.XLOOKUP(F54,Intervenants!$A$2:$A$101,Intervenants!$C$2:$C$101),"ID inconnu"))</f>
        <v/>
      </c>
      <c r="I54" s="12" t="n"/>
      <c r="J54" s="16">
        <f>IF(I54="","",IFERROR(_xlfn.XLOOKUP(I54,Chantiers_Zones!$B$2:$B$101,Chantiers_Zones!$C$2:$C$101),"CHANTIER INCONNU"))</f>
        <v/>
      </c>
      <c r="K54" s="12" t="n"/>
      <c r="L54" s="12" t="n"/>
      <c r="M54" s="8" t="n"/>
      <c r="N54" s="8" t="n"/>
      <c r="O54" s="17" t="n"/>
      <c r="P54" s="9">
        <f>IF(M54="Annulée","OK",IF(OR(B54="",C54="",D54="",F54=""),"",IF(COUNTIFS($F$7:$F$206,F54,$B$7:$B$206,B54,$C$7:$C$206,"&lt;"&amp;D54,$D$7:$D$206,"&gt;"&amp;C54,$M$7:$M$206,"&lt;&gt;Annulée")&gt;1,"DOUBLE RÉSERVATION","OK")))</f>
        <v/>
      </c>
      <c r="Q54" s="9">
        <f>IF(M54="Annulée","OK",IF(OR(B54="",C54="",D54="",F54=""),"",IF(SUMPRODUCT((Indisponibilités!$A$2:$A$101=F54)*((Indisponibilités!$B$2:$B$101+Indisponibilités!$C$2:$C$101)&lt;(B54+D54))*((Indisponibilités!$D$2:$D$101+Indisponibilités!$E$2:$E$101)&gt;(B54+C54)))&gt;0,"INDISPONIBLE","OK")))</f>
        <v/>
      </c>
      <c r="R54" s="9">
        <f>IF(OR(I54="",K54=""),"",IF(COUNTIFS(Chantiers_Zones!$B$2:$B$101,I54,Chantiers_Zones!$D$2:$D$101,K54,Chantiers_Zones!$E$2:$E$101,"Oui")&gt;0,"OK","ZONE INVALIDE"))</f>
        <v/>
      </c>
      <c r="S54" s="9">
        <f>IF(OR(B54="",I54=""),"",IFERROR(IF(AND(B54&gt;=_xlfn.XLOOKUP(I54,Chantiers_Zones!$B$2:$B$101,Chantiers_Zones!$F$2:$F$101),B54&lt;=_xlfn.XLOOKUP(I54,Chantiers_Zones!$B$2:$B$101,Chantiers_Zones!$G$2:$G$101)),"OK","HORS PÉRIODE"),"CHANTIER INCONNU"))</f>
        <v/>
      </c>
      <c r="T54" s="9">
        <f>IF(COUNTA(A54:D54,F54,I54,K54:O54)=0,"",IF(M54="Annulée","OK",IF(OR(A54="",B54="",C54="",D54="",F54="",I54="",K54="",L54="",M54=""),"INCOMPLET",IF(D54&lt;=C54,"HORAIRES INVALIDES",IF(OR(C54&lt;Paramètres!$B$3,D54&gt;Paramètres!$B$4),"HORS PLAGE",IF(P54&lt;&gt;"OK",P54,IF(Q54&lt;&gt;"OK",Q54,IF(R54&lt;&gt;"OK",R54,IF(S54&lt;&gt;"OK",S54,"OK")))))))))</f>
        <v/>
      </c>
    </row>
    <row r="55">
      <c r="A55" s="12" t="n"/>
      <c r="B55" s="24" t="n"/>
      <c r="C55" s="25" t="n"/>
      <c r="D55" s="25" t="n"/>
      <c r="E55" s="15">
        <f>IF(OR(C55="",D55=""),"",IF(D55&gt;C55,(D55-C55)*24,""))</f>
        <v/>
      </c>
      <c r="F55" s="12" t="n"/>
      <c r="G55" s="16">
        <f>IF(F55="","",IFERROR(_xlfn.XLOOKUP(F55,Intervenants!$A$2:$A$101,Intervenants!$B$2:$B$101),"ID inconnu"))</f>
        <v/>
      </c>
      <c r="H55" s="16">
        <f>IF(F55="","",IFERROR(_xlfn.XLOOKUP(F55,Intervenants!$A$2:$A$101,Intervenants!$C$2:$C$101),"ID inconnu"))</f>
        <v/>
      </c>
      <c r="I55" s="12" t="n"/>
      <c r="J55" s="16">
        <f>IF(I55="","",IFERROR(_xlfn.XLOOKUP(I55,Chantiers_Zones!$B$2:$B$101,Chantiers_Zones!$C$2:$C$101),"CHANTIER INCONNU"))</f>
        <v/>
      </c>
      <c r="K55" s="12" t="n"/>
      <c r="L55" s="12" t="n"/>
      <c r="M55" s="8" t="n"/>
      <c r="N55" s="8" t="n"/>
      <c r="O55" s="17" t="n"/>
      <c r="P55" s="9">
        <f>IF(M55="Annulée","OK",IF(OR(B55="",C55="",D55="",F55=""),"",IF(COUNTIFS($F$7:$F$206,F55,$B$7:$B$206,B55,$C$7:$C$206,"&lt;"&amp;D55,$D$7:$D$206,"&gt;"&amp;C55,$M$7:$M$206,"&lt;&gt;Annulée")&gt;1,"DOUBLE RÉSERVATION","OK")))</f>
        <v/>
      </c>
      <c r="Q55" s="9">
        <f>IF(M55="Annulée","OK",IF(OR(B55="",C55="",D55="",F55=""),"",IF(SUMPRODUCT((Indisponibilités!$A$2:$A$101=F55)*((Indisponibilités!$B$2:$B$101+Indisponibilités!$C$2:$C$101)&lt;(B55+D55))*((Indisponibilités!$D$2:$D$101+Indisponibilités!$E$2:$E$101)&gt;(B55+C55)))&gt;0,"INDISPONIBLE","OK")))</f>
        <v/>
      </c>
      <c r="R55" s="9">
        <f>IF(OR(I55="",K55=""),"",IF(COUNTIFS(Chantiers_Zones!$B$2:$B$101,I55,Chantiers_Zones!$D$2:$D$101,K55,Chantiers_Zones!$E$2:$E$101,"Oui")&gt;0,"OK","ZONE INVALIDE"))</f>
        <v/>
      </c>
      <c r="S55" s="9">
        <f>IF(OR(B55="",I55=""),"",IFERROR(IF(AND(B55&gt;=_xlfn.XLOOKUP(I55,Chantiers_Zones!$B$2:$B$101,Chantiers_Zones!$F$2:$F$101),B55&lt;=_xlfn.XLOOKUP(I55,Chantiers_Zones!$B$2:$B$101,Chantiers_Zones!$G$2:$G$101)),"OK","HORS PÉRIODE"),"CHANTIER INCONNU"))</f>
        <v/>
      </c>
      <c r="T55" s="9">
        <f>IF(COUNTA(A55:D55,F55,I55,K55:O55)=0,"",IF(M55="Annulée","OK",IF(OR(A55="",B55="",C55="",D55="",F55="",I55="",K55="",L55="",M55=""),"INCOMPLET",IF(D55&lt;=C55,"HORAIRES INVALIDES",IF(OR(C55&lt;Paramètres!$B$3,D55&gt;Paramètres!$B$4),"HORS PLAGE",IF(P55&lt;&gt;"OK",P55,IF(Q55&lt;&gt;"OK",Q55,IF(R55&lt;&gt;"OK",R55,IF(S55&lt;&gt;"OK",S55,"OK")))))))))</f>
        <v/>
      </c>
    </row>
    <row r="56">
      <c r="A56" s="12" t="n"/>
      <c r="B56" s="24" t="n"/>
      <c r="C56" s="25" t="n"/>
      <c r="D56" s="25" t="n"/>
      <c r="E56" s="15">
        <f>IF(OR(C56="",D56=""),"",IF(D56&gt;C56,(D56-C56)*24,""))</f>
        <v/>
      </c>
      <c r="F56" s="12" t="n"/>
      <c r="G56" s="16">
        <f>IF(F56="","",IFERROR(_xlfn.XLOOKUP(F56,Intervenants!$A$2:$A$101,Intervenants!$B$2:$B$101),"ID inconnu"))</f>
        <v/>
      </c>
      <c r="H56" s="16">
        <f>IF(F56="","",IFERROR(_xlfn.XLOOKUP(F56,Intervenants!$A$2:$A$101,Intervenants!$C$2:$C$101),"ID inconnu"))</f>
        <v/>
      </c>
      <c r="I56" s="12" t="n"/>
      <c r="J56" s="16">
        <f>IF(I56="","",IFERROR(_xlfn.XLOOKUP(I56,Chantiers_Zones!$B$2:$B$101,Chantiers_Zones!$C$2:$C$101),"CHANTIER INCONNU"))</f>
        <v/>
      </c>
      <c r="K56" s="12" t="n"/>
      <c r="L56" s="12" t="n"/>
      <c r="M56" s="8" t="n"/>
      <c r="N56" s="8" t="n"/>
      <c r="O56" s="17" t="n"/>
      <c r="P56" s="9">
        <f>IF(M56="Annulée","OK",IF(OR(B56="",C56="",D56="",F56=""),"",IF(COUNTIFS($F$7:$F$206,F56,$B$7:$B$206,B56,$C$7:$C$206,"&lt;"&amp;D56,$D$7:$D$206,"&gt;"&amp;C56,$M$7:$M$206,"&lt;&gt;Annulée")&gt;1,"DOUBLE RÉSERVATION","OK")))</f>
        <v/>
      </c>
      <c r="Q56" s="9">
        <f>IF(M56="Annulée","OK",IF(OR(B56="",C56="",D56="",F56=""),"",IF(SUMPRODUCT((Indisponibilités!$A$2:$A$101=F56)*((Indisponibilités!$B$2:$B$101+Indisponibilités!$C$2:$C$101)&lt;(B56+D56))*((Indisponibilités!$D$2:$D$101+Indisponibilités!$E$2:$E$101)&gt;(B56+C56)))&gt;0,"INDISPONIBLE","OK")))</f>
        <v/>
      </c>
      <c r="R56" s="9">
        <f>IF(OR(I56="",K56=""),"",IF(COUNTIFS(Chantiers_Zones!$B$2:$B$101,I56,Chantiers_Zones!$D$2:$D$101,K56,Chantiers_Zones!$E$2:$E$101,"Oui")&gt;0,"OK","ZONE INVALIDE"))</f>
        <v/>
      </c>
      <c r="S56" s="9">
        <f>IF(OR(B56="",I56=""),"",IFERROR(IF(AND(B56&gt;=_xlfn.XLOOKUP(I56,Chantiers_Zones!$B$2:$B$101,Chantiers_Zones!$F$2:$F$101),B56&lt;=_xlfn.XLOOKUP(I56,Chantiers_Zones!$B$2:$B$101,Chantiers_Zones!$G$2:$G$101)),"OK","HORS PÉRIODE"),"CHANTIER INCONNU"))</f>
        <v/>
      </c>
      <c r="T56" s="9">
        <f>IF(COUNTA(A56:D56,F56,I56,K56:O56)=0,"",IF(M56="Annulée","OK",IF(OR(A56="",B56="",C56="",D56="",F56="",I56="",K56="",L56="",M56=""),"INCOMPLET",IF(D56&lt;=C56,"HORAIRES INVALIDES",IF(OR(C56&lt;Paramètres!$B$3,D56&gt;Paramètres!$B$4),"HORS PLAGE",IF(P56&lt;&gt;"OK",P56,IF(Q56&lt;&gt;"OK",Q56,IF(R56&lt;&gt;"OK",R56,IF(S56&lt;&gt;"OK",S56,"OK")))))))))</f>
        <v/>
      </c>
    </row>
    <row r="57">
      <c r="A57" s="12" t="n"/>
      <c r="B57" s="24" t="n"/>
      <c r="C57" s="25" t="n"/>
      <c r="D57" s="25" t="n"/>
      <c r="E57" s="15">
        <f>IF(OR(C57="",D57=""),"",IF(D57&gt;C57,(D57-C57)*24,""))</f>
        <v/>
      </c>
      <c r="F57" s="12" t="n"/>
      <c r="G57" s="16">
        <f>IF(F57="","",IFERROR(_xlfn.XLOOKUP(F57,Intervenants!$A$2:$A$101,Intervenants!$B$2:$B$101),"ID inconnu"))</f>
        <v/>
      </c>
      <c r="H57" s="16">
        <f>IF(F57="","",IFERROR(_xlfn.XLOOKUP(F57,Intervenants!$A$2:$A$101,Intervenants!$C$2:$C$101),"ID inconnu"))</f>
        <v/>
      </c>
      <c r="I57" s="12" t="n"/>
      <c r="J57" s="16">
        <f>IF(I57="","",IFERROR(_xlfn.XLOOKUP(I57,Chantiers_Zones!$B$2:$B$101,Chantiers_Zones!$C$2:$C$101),"CHANTIER INCONNU"))</f>
        <v/>
      </c>
      <c r="K57" s="12" t="n"/>
      <c r="L57" s="12" t="n"/>
      <c r="M57" s="8" t="n"/>
      <c r="N57" s="8" t="n"/>
      <c r="O57" s="17" t="n"/>
      <c r="P57" s="9">
        <f>IF(M57="Annulée","OK",IF(OR(B57="",C57="",D57="",F57=""),"",IF(COUNTIFS($F$7:$F$206,F57,$B$7:$B$206,B57,$C$7:$C$206,"&lt;"&amp;D57,$D$7:$D$206,"&gt;"&amp;C57,$M$7:$M$206,"&lt;&gt;Annulée")&gt;1,"DOUBLE RÉSERVATION","OK")))</f>
        <v/>
      </c>
      <c r="Q57" s="9">
        <f>IF(M57="Annulée","OK",IF(OR(B57="",C57="",D57="",F57=""),"",IF(SUMPRODUCT((Indisponibilités!$A$2:$A$101=F57)*((Indisponibilités!$B$2:$B$101+Indisponibilités!$C$2:$C$101)&lt;(B57+D57))*((Indisponibilités!$D$2:$D$101+Indisponibilités!$E$2:$E$101)&gt;(B57+C57)))&gt;0,"INDISPONIBLE","OK")))</f>
        <v/>
      </c>
      <c r="R57" s="9">
        <f>IF(OR(I57="",K57=""),"",IF(COUNTIFS(Chantiers_Zones!$B$2:$B$101,I57,Chantiers_Zones!$D$2:$D$101,K57,Chantiers_Zones!$E$2:$E$101,"Oui")&gt;0,"OK","ZONE INVALIDE"))</f>
        <v/>
      </c>
      <c r="S57" s="9">
        <f>IF(OR(B57="",I57=""),"",IFERROR(IF(AND(B57&gt;=_xlfn.XLOOKUP(I57,Chantiers_Zones!$B$2:$B$101,Chantiers_Zones!$F$2:$F$101),B57&lt;=_xlfn.XLOOKUP(I57,Chantiers_Zones!$B$2:$B$101,Chantiers_Zones!$G$2:$G$101)),"OK","HORS PÉRIODE"),"CHANTIER INCONNU"))</f>
        <v/>
      </c>
      <c r="T57" s="9">
        <f>IF(COUNTA(A57:D57,F57,I57,K57:O57)=0,"",IF(M57="Annulée","OK",IF(OR(A57="",B57="",C57="",D57="",F57="",I57="",K57="",L57="",M57=""),"INCOMPLET",IF(D57&lt;=C57,"HORAIRES INVALIDES",IF(OR(C57&lt;Paramètres!$B$3,D57&gt;Paramètres!$B$4),"HORS PLAGE",IF(P57&lt;&gt;"OK",P57,IF(Q57&lt;&gt;"OK",Q57,IF(R57&lt;&gt;"OK",R57,IF(S57&lt;&gt;"OK",S57,"OK")))))))))</f>
        <v/>
      </c>
    </row>
    <row r="58">
      <c r="A58" s="12" t="n"/>
      <c r="B58" s="24" t="n"/>
      <c r="C58" s="25" t="n"/>
      <c r="D58" s="25" t="n"/>
      <c r="E58" s="15">
        <f>IF(OR(C58="",D58=""),"",IF(D58&gt;C58,(D58-C58)*24,""))</f>
        <v/>
      </c>
      <c r="F58" s="12" t="n"/>
      <c r="G58" s="16">
        <f>IF(F58="","",IFERROR(_xlfn.XLOOKUP(F58,Intervenants!$A$2:$A$101,Intervenants!$B$2:$B$101),"ID inconnu"))</f>
        <v/>
      </c>
      <c r="H58" s="16">
        <f>IF(F58="","",IFERROR(_xlfn.XLOOKUP(F58,Intervenants!$A$2:$A$101,Intervenants!$C$2:$C$101),"ID inconnu"))</f>
        <v/>
      </c>
      <c r="I58" s="12" t="n"/>
      <c r="J58" s="16">
        <f>IF(I58="","",IFERROR(_xlfn.XLOOKUP(I58,Chantiers_Zones!$B$2:$B$101,Chantiers_Zones!$C$2:$C$101),"CHANTIER INCONNU"))</f>
        <v/>
      </c>
      <c r="K58" s="12" t="n"/>
      <c r="L58" s="12" t="n"/>
      <c r="M58" s="8" t="n"/>
      <c r="N58" s="8" t="n"/>
      <c r="O58" s="17" t="n"/>
      <c r="P58" s="9">
        <f>IF(M58="Annulée","OK",IF(OR(B58="",C58="",D58="",F58=""),"",IF(COUNTIFS($F$7:$F$206,F58,$B$7:$B$206,B58,$C$7:$C$206,"&lt;"&amp;D58,$D$7:$D$206,"&gt;"&amp;C58,$M$7:$M$206,"&lt;&gt;Annulée")&gt;1,"DOUBLE RÉSERVATION","OK")))</f>
        <v/>
      </c>
      <c r="Q58" s="9">
        <f>IF(M58="Annulée","OK",IF(OR(B58="",C58="",D58="",F58=""),"",IF(SUMPRODUCT((Indisponibilités!$A$2:$A$101=F58)*((Indisponibilités!$B$2:$B$101+Indisponibilités!$C$2:$C$101)&lt;(B58+D58))*((Indisponibilités!$D$2:$D$101+Indisponibilités!$E$2:$E$101)&gt;(B58+C58)))&gt;0,"INDISPONIBLE","OK")))</f>
        <v/>
      </c>
      <c r="R58" s="9">
        <f>IF(OR(I58="",K58=""),"",IF(COUNTIFS(Chantiers_Zones!$B$2:$B$101,I58,Chantiers_Zones!$D$2:$D$101,K58,Chantiers_Zones!$E$2:$E$101,"Oui")&gt;0,"OK","ZONE INVALIDE"))</f>
        <v/>
      </c>
      <c r="S58" s="9">
        <f>IF(OR(B58="",I58=""),"",IFERROR(IF(AND(B58&gt;=_xlfn.XLOOKUP(I58,Chantiers_Zones!$B$2:$B$101,Chantiers_Zones!$F$2:$F$101),B58&lt;=_xlfn.XLOOKUP(I58,Chantiers_Zones!$B$2:$B$101,Chantiers_Zones!$G$2:$G$101)),"OK","HORS PÉRIODE"),"CHANTIER INCONNU"))</f>
        <v/>
      </c>
      <c r="T58" s="9">
        <f>IF(COUNTA(A58:D58,F58,I58,K58:O58)=0,"",IF(M58="Annulée","OK",IF(OR(A58="",B58="",C58="",D58="",F58="",I58="",K58="",L58="",M58=""),"INCOMPLET",IF(D58&lt;=C58,"HORAIRES INVALIDES",IF(OR(C58&lt;Paramètres!$B$3,D58&gt;Paramètres!$B$4),"HORS PLAGE",IF(P58&lt;&gt;"OK",P58,IF(Q58&lt;&gt;"OK",Q58,IF(R58&lt;&gt;"OK",R58,IF(S58&lt;&gt;"OK",S58,"OK")))))))))</f>
        <v/>
      </c>
    </row>
    <row r="59">
      <c r="A59" s="12" t="n"/>
      <c r="B59" s="24" t="n"/>
      <c r="C59" s="25" t="n"/>
      <c r="D59" s="25" t="n"/>
      <c r="E59" s="15">
        <f>IF(OR(C59="",D59=""),"",IF(D59&gt;C59,(D59-C59)*24,""))</f>
        <v/>
      </c>
      <c r="F59" s="12" t="n"/>
      <c r="G59" s="16">
        <f>IF(F59="","",IFERROR(_xlfn.XLOOKUP(F59,Intervenants!$A$2:$A$101,Intervenants!$B$2:$B$101),"ID inconnu"))</f>
        <v/>
      </c>
      <c r="H59" s="16">
        <f>IF(F59="","",IFERROR(_xlfn.XLOOKUP(F59,Intervenants!$A$2:$A$101,Intervenants!$C$2:$C$101),"ID inconnu"))</f>
        <v/>
      </c>
      <c r="I59" s="12" t="n"/>
      <c r="J59" s="16">
        <f>IF(I59="","",IFERROR(_xlfn.XLOOKUP(I59,Chantiers_Zones!$B$2:$B$101,Chantiers_Zones!$C$2:$C$101),"CHANTIER INCONNU"))</f>
        <v/>
      </c>
      <c r="K59" s="12" t="n"/>
      <c r="L59" s="12" t="n"/>
      <c r="M59" s="8" t="n"/>
      <c r="N59" s="8" t="n"/>
      <c r="O59" s="17" t="n"/>
      <c r="P59" s="9">
        <f>IF(M59="Annulée","OK",IF(OR(B59="",C59="",D59="",F59=""),"",IF(COUNTIFS($F$7:$F$206,F59,$B$7:$B$206,B59,$C$7:$C$206,"&lt;"&amp;D59,$D$7:$D$206,"&gt;"&amp;C59,$M$7:$M$206,"&lt;&gt;Annulée")&gt;1,"DOUBLE RÉSERVATION","OK")))</f>
        <v/>
      </c>
      <c r="Q59" s="9">
        <f>IF(M59="Annulée","OK",IF(OR(B59="",C59="",D59="",F59=""),"",IF(SUMPRODUCT((Indisponibilités!$A$2:$A$101=F59)*((Indisponibilités!$B$2:$B$101+Indisponibilités!$C$2:$C$101)&lt;(B59+D59))*((Indisponibilités!$D$2:$D$101+Indisponibilités!$E$2:$E$101)&gt;(B59+C59)))&gt;0,"INDISPONIBLE","OK")))</f>
        <v/>
      </c>
      <c r="R59" s="9">
        <f>IF(OR(I59="",K59=""),"",IF(COUNTIFS(Chantiers_Zones!$B$2:$B$101,I59,Chantiers_Zones!$D$2:$D$101,K59,Chantiers_Zones!$E$2:$E$101,"Oui")&gt;0,"OK","ZONE INVALIDE"))</f>
        <v/>
      </c>
      <c r="S59" s="9">
        <f>IF(OR(B59="",I59=""),"",IFERROR(IF(AND(B59&gt;=_xlfn.XLOOKUP(I59,Chantiers_Zones!$B$2:$B$101,Chantiers_Zones!$F$2:$F$101),B59&lt;=_xlfn.XLOOKUP(I59,Chantiers_Zones!$B$2:$B$101,Chantiers_Zones!$G$2:$G$101)),"OK","HORS PÉRIODE"),"CHANTIER INCONNU"))</f>
        <v/>
      </c>
      <c r="T59" s="9">
        <f>IF(COUNTA(A59:D59,F59,I59,K59:O59)=0,"",IF(M59="Annulée","OK",IF(OR(A59="",B59="",C59="",D59="",F59="",I59="",K59="",L59="",M59=""),"INCOMPLET",IF(D59&lt;=C59,"HORAIRES INVALIDES",IF(OR(C59&lt;Paramètres!$B$3,D59&gt;Paramètres!$B$4),"HORS PLAGE",IF(P59&lt;&gt;"OK",P59,IF(Q59&lt;&gt;"OK",Q59,IF(R59&lt;&gt;"OK",R59,IF(S59&lt;&gt;"OK",S59,"OK")))))))))</f>
        <v/>
      </c>
    </row>
    <row r="60">
      <c r="A60" s="12" t="n"/>
      <c r="B60" s="24" t="n"/>
      <c r="C60" s="25" t="n"/>
      <c r="D60" s="25" t="n"/>
      <c r="E60" s="15">
        <f>IF(OR(C60="",D60=""),"",IF(D60&gt;C60,(D60-C60)*24,""))</f>
        <v/>
      </c>
      <c r="F60" s="12" t="n"/>
      <c r="G60" s="16">
        <f>IF(F60="","",IFERROR(_xlfn.XLOOKUP(F60,Intervenants!$A$2:$A$101,Intervenants!$B$2:$B$101),"ID inconnu"))</f>
        <v/>
      </c>
      <c r="H60" s="16">
        <f>IF(F60="","",IFERROR(_xlfn.XLOOKUP(F60,Intervenants!$A$2:$A$101,Intervenants!$C$2:$C$101),"ID inconnu"))</f>
        <v/>
      </c>
      <c r="I60" s="12" t="n"/>
      <c r="J60" s="16">
        <f>IF(I60="","",IFERROR(_xlfn.XLOOKUP(I60,Chantiers_Zones!$B$2:$B$101,Chantiers_Zones!$C$2:$C$101),"CHANTIER INCONNU"))</f>
        <v/>
      </c>
      <c r="K60" s="12" t="n"/>
      <c r="L60" s="12" t="n"/>
      <c r="M60" s="8" t="n"/>
      <c r="N60" s="8" t="n"/>
      <c r="O60" s="17" t="n"/>
      <c r="P60" s="9">
        <f>IF(M60="Annulée","OK",IF(OR(B60="",C60="",D60="",F60=""),"",IF(COUNTIFS($F$7:$F$206,F60,$B$7:$B$206,B60,$C$7:$C$206,"&lt;"&amp;D60,$D$7:$D$206,"&gt;"&amp;C60,$M$7:$M$206,"&lt;&gt;Annulée")&gt;1,"DOUBLE RÉSERVATION","OK")))</f>
        <v/>
      </c>
      <c r="Q60" s="9">
        <f>IF(M60="Annulée","OK",IF(OR(B60="",C60="",D60="",F60=""),"",IF(SUMPRODUCT((Indisponibilités!$A$2:$A$101=F60)*((Indisponibilités!$B$2:$B$101+Indisponibilités!$C$2:$C$101)&lt;(B60+D60))*((Indisponibilités!$D$2:$D$101+Indisponibilités!$E$2:$E$101)&gt;(B60+C60)))&gt;0,"INDISPONIBLE","OK")))</f>
        <v/>
      </c>
      <c r="R60" s="9">
        <f>IF(OR(I60="",K60=""),"",IF(COUNTIFS(Chantiers_Zones!$B$2:$B$101,I60,Chantiers_Zones!$D$2:$D$101,K60,Chantiers_Zones!$E$2:$E$101,"Oui")&gt;0,"OK","ZONE INVALIDE"))</f>
        <v/>
      </c>
      <c r="S60" s="9">
        <f>IF(OR(B60="",I60=""),"",IFERROR(IF(AND(B60&gt;=_xlfn.XLOOKUP(I60,Chantiers_Zones!$B$2:$B$101,Chantiers_Zones!$F$2:$F$101),B60&lt;=_xlfn.XLOOKUP(I60,Chantiers_Zones!$B$2:$B$101,Chantiers_Zones!$G$2:$G$101)),"OK","HORS PÉRIODE"),"CHANTIER INCONNU"))</f>
        <v/>
      </c>
      <c r="T60" s="9">
        <f>IF(COUNTA(A60:D60,F60,I60,K60:O60)=0,"",IF(M60="Annulée","OK",IF(OR(A60="",B60="",C60="",D60="",F60="",I60="",K60="",L60="",M60=""),"INCOMPLET",IF(D60&lt;=C60,"HORAIRES INVALIDES",IF(OR(C60&lt;Paramètres!$B$3,D60&gt;Paramètres!$B$4),"HORS PLAGE",IF(P60&lt;&gt;"OK",P60,IF(Q60&lt;&gt;"OK",Q60,IF(R60&lt;&gt;"OK",R60,IF(S60&lt;&gt;"OK",S60,"OK")))))))))</f>
        <v/>
      </c>
    </row>
    <row r="61">
      <c r="A61" s="12" t="n"/>
      <c r="B61" s="24" t="n"/>
      <c r="C61" s="25" t="n"/>
      <c r="D61" s="25" t="n"/>
      <c r="E61" s="15">
        <f>IF(OR(C61="",D61=""),"",IF(D61&gt;C61,(D61-C61)*24,""))</f>
        <v/>
      </c>
      <c r="F61" s="12" t="n"/>
      <c r="G61" s="16">
        <f>IF(F61="","",IFERROR(_xlfn.XLOOKUP(F61,Intervenants!$A$2:$A$101,Intervenants!$B$2:$B$101),"ID inconnu"))</f>
        <v/>
      </c>
      <c r="H61" s="16">
        <f>IF(F61="","",IFERROR(_xlfn.XLOOKUP(F61,Intervenants!$A$2:$A$101,Intervenants!$C$2:$C$101),"ID inconnu"))</f>
        <v/>
      </c>
      <c r="I61" s="12" t="n"/>
      <c r="J61" s="16">
        <f>IF(I61="","",IFERROR(_xlfn.XLOOKUP(I61,Chantiers_Zones!$B$2:$B$101,Chantiers_Zones!$C$2:$C$101),"CHANTIER INCONNU"))</f>
        <v/>
      </c>
      <c r="K61" s="12" t="n"/>
      <c r="L61" s="12" t="n"/>
      <c r="M61" s="8" t="n"/>
      <c r="N61" s="8" t="n"/>
      <c r="O61" s="17" t="n"/>
      <c r="P61" s="9">
        <f>IF(M61="Annulée","OK",IF(OR(B61="",C61="",D61="",F61=""),"",IF(COUNTIFS($F$7:$F$206,F61,$B$7:$B$206,B61,$C$7:$C$206,"&lt;"&amp;D61,$D$7:$D$206,"&gt;"&amp;C61,$M$7:$M$206,"&lt;&gt;Annulée")&gt;1,"DOUBLE RÉSERVATION","OK")))</f>
        <v/>
      </c>
      <c r="Q61" s="9">
        <f>IF(M61="Annulée","OK",IF(OR(B61="",C61="",D61="",F61=""),"",IF(SUMPRODUCT((Indisponibilités!$A$2:$A$101=F61)*((Indisponibilités!$B$2:$B$101+Indisponibilités!$C$2:$C$101)&lt;(B61+D61))*((Indisponibilités!$D$2:$D$101+Indisponibilités!$E$2:$E$101)&gt;(B61+C61)))&gt;0,"INDISPONIBLE","OK")))</f>
        <v/>
      </c>
      <c r="R61" s="9">
        <f>IF(OR(I61="",K61=""),"",IF(COUNTIFS(Chantiers_Zones!$B$2:$B$101,I61,Chantiers_Zones!$D$2:$D$101,K61,Chantiers_Zones!$E$2:$E$101,"Oui")&gt;0,"OK","ZONE INVALIDE"))</f>
        <v/>
      </c>
      <c r="S61" s="9">
        <f>IF(OR(B61="",I61=""),"",IFERROR(IF(AND(B61&gt;=_xlfn.XLOOKUP(I61,Chantiers_Zones!$B$2:$B$101,Chantiers_Zones!$F$2:$F$101),B61&lt;=_xlfn.XLOOKUP(I61,Chantiers_Zones!$B$2:$B$101,Chantiers_Zones!$G$2:$G$101)),"OK","HORS PÉRIODE"),"CHANTIER INCONNU"))</f>
        <v/>
      </c>
      <c r="T61" s="9">
        <f>IF(COUNTA(A61:D61,F61,I61,K61:O61)=0,"",IF(M61="Annulée","OK",IF(OR(A61="",B61="",C61="",D61="",F61="",I61="",K61="",L61="",M61=""),"INCOMPLET",IF(D61&lt;=C61,"HORAIRES INVALIDES",IF(OR(C61&lt;Paramètres!$B$3,D61&gt;Paramètres!$B$4),"HORS PLAGE",IF(P61&lt;&gt;"OK",P61,IF(Q61&lt;&gt;"OK",Q61,IF(R61&lt;&gt;"OK",R61,IF(S61&lt;&gt;"OK",S61,"OK")))))))))</f>
        <v/>
      </c>
    </row>
    <row r="62">
      <c r="A62" s="12" t="n"/>
      <c r="B62" s="24" t="n"/>
      <c r="C62" s="25" t="n"/>
      <c r="D62" s="25" t="n"/>
      <c r="E62" s="15">
        <f>IF(OR(C62="",D62=""),"",IF(D62&gt;C62,(D62-C62)*24,""))</f>
        <v/>
      </c>
      <c r="F62" s="12" t="n"/>
      <c r="G62" s="16">
        <f>IF(F62="","",IFERROR(_xlfn.XLOOKUP(F62,Intervenants!$A$2:$A$101,Intervenants!$B$2:$B$101),"ID inconnu"))</f>
        <v/>
      </c>
      <c r="H62" s="16">
        <f>IF(F62="","",IFERROR(_xlfn.XLOOKUP(F62,Intervenants!$A$2:$A$101,Intervenants!$C$2:$C$101),"ID inconnu"))</f>
        <v/>
      </c>
      <c r="I62" s="12" t="n"/>
      <c r="J62" s="16">
        <f>IF(I62="","",IFERROR(_xlfn.XLOOKUP(I62,Chantiers_Zones!$B$2:$B$101,Chantiers_Zones!$C$2:$C$101),"CHANTIER INCONNU"))</f>
        <v/>
      </c>
      <c r="K62" s="12" t="n"/>
      <c r="L62" s="12" t="n"/>
      <c r="M62" s="8" t="n"/>
      <c r="N62" s="8" t="n"/>
      <c r="O62" s="17" t="n"/>
      <c r="P62" s="9">
        <f>IF(M62="Annulée","OK",IF(OR(B62="",C62="",D62="",F62=""),"",IF(COUNTIFS($F$7:$F$206,F62,$B$7:$B$206,B62,$C$7:$C$206,"&lt;"&amp;D62,$D$7:$D$206,"&gt;"&amp;C62,$M$7:$M$206,"&lt;&gt;Annulée")&gt;1,"DOUBLE RÉSERVATION","OK")))</f>
        <v/>
      </c>
      <c r="Q62" s="9">
        <f>IF(M62="Annulée","OK",IF(OR(B62="",C62="",D62="",F62=""),"",IF(SUMPRODUCT((Indisponibilités!$A$2:$A$101=F62)*((Indisponibilités!$B$2:$B$101+Indisponibilités!$C$2:$C$101)&lt;(B62+D62))*((Indisponibilités!$D$2:$D$101+Indisponibilités!$E$2:$E$101)&gt;(B62+C62)))&gt;0,"INDISPONIBLE","OK")))</f>
        <v/>
      </c>
      <c r="R62" s="9">
        <f>IF(OR(I62="",K62=""),"",IF(COUNTIFS(Chantiers_Zones!$B$2:$B$101,I62,Chantiers_Zones!$D$2:$D$101,K62,Chantiers_Zones!$E$2:$E$101,"Oui")&gt;0,"OK","ZONE INVALIDE"))</f>
        <v/>
      </c>
      <c r="S62" s="9">
        <f>IF(OR(B62="",I62=""),"",IFERROR(IF(AND(B62&gt;=_xlfn.XLOOKUP(I62,Chantiers_Zones!$B$2:$B$101,Chantiers_Zones!$F$2:$F$101),B62&lt;=_xlfn.XLOOKUP(I62,Chantiers_Zones!$B$2:$B$101,Chantiers_Zones!$G$2:$G$101)),"OK","HORS PÉRIODE"),"CHANTIER INCONNU"))</f>
        <v/>
      </c>
      <c r="T62" s="9">
        <f>IF(COUNTA(A62:D62,F62,I62,K62:O62)=0,"",IF(M62="Annulée","OK",IF(OR(A62="",B62="",C62="",D62="",F62="",I62="",K62="",L62="",M62=""),"INCOMPLET",IF(D62&lt;=C62,"HORAIRES INVALIDES",IF(OR(C62&lt;Paramètres!$B$3,D62&gt;Paramètres!$B$4),"HORS PLAGE",IF(P62&lt;&gt;"OK",P62,IF(Q62&lt;&gt;"OK",Q62,IF(R62&lt;&gt;"OK",R62,IF(S62&lt;&gt;"OK",S62,"OK")))))))))</f>
        <v/>
      </c>
    </row>
    <row r="63">
      <c r="A63" s="12" t="n"/>
      <c r="B63" s="24" t="n"/>
      <c r="C63" s="25" t="n"/>
      <c r="D63" s="25" t="n"/>
      <c r="E63" s="15">
        <f>IF(OR(C63="",D63=""),"",IF(D63&gt;C63,(D63-C63)*24,""))</f>
        <v/>
      </c>
      <c r="F63" s="12" t="n"/>
      <c r="G63" s="16">
        <f>IF(F63="","",IFERROR(_xlfn.XLOOKUP(F63,Intervenants!$A$2:$A$101,Intervenants!$B$2:$B$101),"ID inconnu"))</f>
        <v/>
      </c>
      <c r="H63" s="16">
        <f>IF(F63="","",IFERROR(_xlfn.XLOOKUP(F63,Intervenants!$A$2:$A$101,Intervenants!$C$2:$C$101),"ID inconnu"))</f>
        <v/>
      </c>
      <c r="I63" s="12" t="n"/>
      <c r="J63" s="16">
        <f>IF(I63="","",IFERROR(_xlfn.XLOOKUP(I63,Chantiers_Zones!$B$2:$B$101,Chantiers_Zones!$C$2:$C$101),"CHANTIER INCONNU"))</f>
        <v/>
      </c>
      <c r="K63" s="12" t="n"/>
      <c r="L63" s="12" t="n"/>
      <c r="M63" s="8" t="n"/>
      <c r="N63" s="8" t="n"/>
      <c r="O63" s="17" t="n"/>
      <c r="P63" s="9">
        <f>IF(M63="Annulée","OK",IF(OR(B63="",C63="",D63="",F63=""),"",IF(COUNTIFS($F$7:$F$206,F63,$B$7:$B$206,B63,$C$7:$C$206,"&lt;"&amp;D63,$D$7:$D$206,"&gt;"&amp;C63,$M$7:$M$206,"&lt;&gt;Annulée")&gt;1,"DOUBLE RÉSERVATION","OK")))</f>
        <v/>
      </c>
      <c r="Q63" s="9">
        <f>IF(M63="Annulée","OK",IF(OR(B63="",C63="",D63="",F63=""),"",IF(SUMPRODUCT((Indisponibilités!$A$2:$A$101=F63)*((Indisponibilités!$B$2:$B$101+Indisponibilités!$C$2:$C$101)&lt;(B63+D63))*((Indisponibilités!$D$2:$D$101+Indisponibilités!$E$2:$E$101)&gt;(B63+C63)))&gt;0,"INDISPONIBLE","OK")))</f>
        <v/>
      </c>
      <c r="R63" s="9">
        <f>IF(OR(I63="",K63=""),"",IF(COUNTIFS(Chantiers_Zones!$B$2:$B$101,I63,Chantiers_Zones!$D$2:$D$101,K63,Chantiers_Zones!$E$2:$E$101,"Oui")&gt;0,"OK","ZONE INVALIDE"))</f>
        <v/>
      </c>
      <c r="S63" s="9">
        <f>IF(OR(B63="",I63=""),"",IFERROR(IF(AND(B63&gt;=_xlfn.XLOOKUP(I63,Chantiers_Zones!$B$2:$B$101,Chantiers_Zones!$F$2:$F$101),B63&lt;=_xlfn.XLOOKUP(I63,Chantiers_Zones!$B$2:$B$101,Chantiers_Zones!$G$2:$G$101)),"OK","HORS PÉRIODE"),"CHANTIER INCONNU"))</f>
        <v/>
      </c>
      <c r="T63" s="9">
        <f>IF(COUNTA(A63:D63,F63,I63,K63:O63)=0,"",IF(M63="Annulée","OK",IF(OR(A63="",B63="",C63="",D63="",F63="",I63="",K63="",L63="",M63=""),"INCOMPLET",IF(D63&lt;=C63,"HORAIRES INVALIDES",IF(OR(C63&lt;Paramètres!$B$3,D63&gt;Paramètres!$B$4),"HORS PLAGE",IF(P63&lt;&gt;"OK",P63,IF(Q63&lt;&gt;"OK",Q63,IF(R63&lt;&gt;"OK",R63,IF(S63&lt;&gt;"OK",S63,"OK")))))))))</f>
        <v/>
      </c>
    </row>
    <row r="64">
      <c r="A64" s="12" t="n"/>
      <c r="B64" s="24" t="n"/>
      <c r="C64" s="25" t="n"/>
      <c r="D64" s="25" t="n"/>
      <c r="E64" s="15">
        <f>IF(OR(C64="",D64=""),"",IF(D64&gt;C64,(D64-C64)*24,""))</f>
        <v/>
      </c>
      <c r="F64" s="12" t="n"/>
      <c r="G64" s="16">
        <f>IF(F64="","",IFERROR(_xlfn.XLOOKUP(F64,Intervenants!$A$2:$A$101,Intervenants!$B$2:$B$101),"ID inconnu"))</f>
        <v/>
      </c>
      <c r="H64" s="16">
        <f>IF(F64="","",IFERROR(_xlfn.XLOOKUP(F64,Intervenants!$A$2:$A$101,Intervenants!$C$2:$C$101),"ID inconnu"))</f>
        <v/>
      </c>
      <c r="I64" s="12" t="n"/>
      <c r="J64" s="16">
        <f>IF(I64="","",IFERROR(_xlfn.XLOOKUP(I64,Chantiers_Zones!$B$2:$B$101,Chantiers_Zones!$C$2:$C$101),"CHANTIER INCONNU"))</f>
        <v/>
      </c>
      <c r="K64" s="12" t="n"/>
      <c r="L64" s="12" t="n"/>
      <c r="M64" s="8" t="n"/>
      <c r="N64" s="8" t="n"/>
      <c r="O64" s="17" t="n"/>
      <c r="P64" s="9">
        <f>IF(M64="Annulée","OK",IF(OR(B64="",C64="",D64="",F64=""),"",IF(COUNTIFS($F$7:$F$206,F64,$B$7:$B$206,B64,$C$7:$C$206,"&lt;"&amp;D64,$D$7:$D$206,"&gt;"&amp;C64,$M$7:$M$206,"&lt;&gt;Annulée")&gt;1,"DOUBLE RÉSERVATION","OK")))</f>
        <v/>
      </c>
      <c r="Q64" s="9">
        <f>IF(M64="Annulée","OK",IF(OR(B64="",C64="",D64="",F64=""),"",IF(SUMPRODUCT((Indisponibilités!$A$2:$A$101=F64)*((Indisponibilités!$B$2:$B$101+Indisponibilités!$C$2:$C$101)&lt;(B64+D64))*((Indisponibilités!$D$2:$D$101+Indisponibilités!$E$2:$E$101)&gt;(B64+C64)))&gt;0,"INDISPONIBLE","OK")))</f>
        <v/>
      </c>
      <c r="R64" s="9">
        <f>IF(OR(I64="",K64=""),"",IF(COUNTIFS(Chantiers_Zones!$B$2:$B$101,I64,Chantiers_Zones!$D$2:$D$101,K64,Chantiers_Zones!$E$2:$E$101,"Oui")&gt;0,"OK","ZONE INVALIDE"))</f>
        <v/>
      </c>
      <c r="S64" s="9">
        <f>IF(OR(B64="",I64=""),"",IFERROR(IF(AND(B64&gt;=_xlfn.XLOOKUP(I64,Chantiers_Zones!$B$2:$B$101,Chantiers_Zones!$F$2:$F$101),B64&lt;=_xlfn.XLOOKUP(I64,Chantiers_Zones!$B$2:$B$101,Chantiers_Zones!$G$2:$G$101)),"OK","HORS PÉRIODE"),"CHANTIER INCONNU"))</f>
        <v/>
      </c>
      <c r="T64" s="9">
        <f>IF(COUNTA(A64:D64,F64,I64,K64:O64)=0,"",IF(M64="Annulée","OK",IF(OR(A64="",B64="",C64="",D64="",F64="",I64="",K64="",L64="",M64=""),"INCOMPLET",IF(D64&lt;=C64,"HORAIRES INVALIDES",IF(OR(C64&lt;Paramètres!$B$3,D64&gt;Paramètres!$B$4),"HORS PLAGE",IF(P64&lt;&gt;"OK",P64,IF(Q64&lt;&gt;"OK",Q64,IF(R64&lt;&gt;"OK",R64,IF(S64&lt;&gt;"OK",S64,"OK")))))))))</f>
        <v/>
      </c>
    </row>
    <row r="65">
      <c r="A65" s="12" t="n"/>
      <c r="B65" s="24" t="n"/>
      <c r="C65" s="25" t="n"/>
      <c r="D65" s="25" t="n"/>
      <c r="E65" s="15">
        <f>IF(OR(C65="",D65=""),"",IF(D65&gt;C65,(D65-C65)*24,""))</f>
        <v/>
      </c>
      <c r="F65" s="12" t="n"/>
      <c r="G65" s="16">
        <f>IF(F65="","",IFERROR(_xlfn.XLOOKUP(F65,Intervenants!$A$2:$A$101,Intervenants!$B$2:$B$101),"ID inconnu"))</f>
        <v/>
      </c>
      <c r="H65" s="16">
        <f>IF(F65="","",IFERROR(_xlfn.XLOOKUP(F65,Intervenants!$A$2:$A$101,Intervenants!$C$2:$C$101),"ID inconnu"))</f>
        <v/>
      </c>
      <c r="I65" s="12" t="n"/>
      <c r="J65" s="16">
        <f>IF(I65="","",IFERROR(_xlfn.XLOOKUP(I65,Chantiers_Zones!$B$2:$B$101,Chantiers_Zones!$C$2:$C$101),"CHANTIER INCONNU"))</f>
        <v/>
      </c>
      <c r="K65" s="12" t="n"/>
      <c r="L65" s="12" t="n"/>
      <c r="M65" s="8" t="n"/>
      <c r="N65" s="8" t="n"/>
      <c r="O65" s="17" t="n"/>
      <c r="P65" s="9">
        <f>IF(M65="Annulée","OK",IF(OR(B65="",C65="",D65="",F65=""),"",IF(COUNTIFS($F$7:$F$206,F65,$B$7:$B$206,B65,$C$7:$C$206,"&lt;"&amp;D65,$D$7:$D$206,"&gt;"&amp;C65,$M$7:$M$206,"&lt;&gt;Annulée")&gt;1,"DOUBLE RÉSERVATION","OK")))</f>
        <v/>
      </c>
      <c r="Q65" s="9">
        <f>IF(M65="Annulée","OK",IF(OR(B65="",C65="",D65="",F65=""),"",IF(SUMPRODUCT((Indisponibilités!$A$2:$A$101=F65)*((Indisponibilités!$B$2:$B$101+Indisponibilités!$C$2:$C$101)&lt;(B65+D65))*((Indisponibilités!$D$2:$D$101+Indisponibilités!$E$2:$E$101)&gt;(B65+C65)))&gt;0,"INDISPONIBLE","OK")))</f>
        <v/>
      </c>
      <c r="R65" s="9">
        <f>IF(OR(I65="",K65=""),"",IF(COUNTIFS(Chantiers_Zones!$B$2:$B$101,I65,Chantiers_Zones!$D$2:$D$101,K65,Chantiers_Zones!$E$2:$E$101,"Oui")&gt;0,"OK","ZONE INVALIDE"))</f>
        <v/>
      </c>
      <c r="S65" s="9">
        <f>IF(OR(B65="",I65=""),"",IFERROR(IF(AND(B65&gt;=_xlfn.XLOOKUP(I65,Chantiers_Zones!$B$2:$B$101,Chantiers_Zones!$F$2:$F$101),B65&lt;=_xlfn.XLOOKUP(I65,Chantiers_Zones!$B$2:$B$101,Chantiers_Zones!$G$2:$G$101)),"OK","HORS PÉRIODE"),"CHANTIER INCONNU"))</f>
        <v/>
      </c>
      <c r="T65" s="9">
        <f>IF(COUNTA(A65:D65,F65,I65,K65:O65)=0,"",IF(M65="Annulée","OK",IF(OR(A65="",B65="",C65="",D65="",F65="",I65="",K65="",L65="",M65=""),"INCOMPLET",IF(D65&lt;=C65,"HORAIRES INVALIDES",IF(OR(C65&lt;Paramètres!$B$3,D65&gt;Paramètres!$B$4),"HORS PLAGE",IF(P65&lt;&gt;"OK",P65,IF(Q65&lt;&gt;"OK",Q65,IF(R65&lt;&gt;"OK",R65,IF(S65&lt;&gt;"OK",S65,"OK")))))))))</f>
        <v/>
      </c>
    </row>
    <row r="66">
      <c r="A66" s="12" t="n"/>
      <c r="B66" s="24" t="n"/>
      <c r="C66" s="25" t="n"/>
      <c r="D66" s="25" t="n"/>
      <c r="E66" s="15">
        <f>IF(OR(C66="",D66=""),"",IF(D66&gt;C66,(D66-C66)*24,""))</f>
        <v/>
      </c>
      <c r="F66" s="12" t="n"/>
      <c r="G66" s="16">
        <f>IF(F66="","",IFERROR(_xlfn.XLOOKUP(F66,Intervenants!$A$2:$A$101,Intervenants!$B$2:$B$101),"ID inconnu"))</f>
        <v/>
      </c>
      <c r="H66" s="16">
        <f>IF(F66="","",IFERROR(_xlfn.XLOOKUP(F66,Intervenants!$A$2:$A$101,Intervenants!$C$2:$C$101),"ID inconnu"))</f>
        <v/>
      </c>
      <c r="I66" s="12" t="n"/>
      <c r="J66" s="16">
        <f>IF(I66="","",IFERROR(_xlfn.XLOOKUP(I66,Chantiers_Zones!$B$2:$B$101,Chantiers_Zones!$C$2:$C$101),"CHANTIER INCONNU"))</f>
        <v/>
      </c>
      <c r="K66" s="12" t="n"/>
      <c r="L66" s="12" t="n"/>
      <c r="M66" s="8" t="n"/>
      <c r="N66" s="8" t="n"/>
      <c r="O66" s="17" t="n"/>
      <c r="P66" s="9">
        <f>IF(M66="Annulée","OK",IF(OR(B66="",C66="",D66="",F66=""),"",IF(COUNTIFS($F$7:$F$206,F66,$B$7:$B$206,B66,$C$7:$C$206,"&lt;"&amp;D66,$D$7:$D$206,"&gt;"&amp;C66,$M$7:$M$206,"&lt;&gt;Annulée")&gt;1,"DOUBLE RÉSERVATION","OK")))</f>
        <v/>
      </c>
      <c r="Q66" s="9">
        <f>IF(M66="Annulée","OK",IF(OR(B66="",C66="",D66="",F66=""),"",IF(SUMPRODUCT((Indisponibilités!$A$2:$A$101=F66)*((Indisponibilités!$B$2:$B$101+Indisponibilités!$C$2:$C$101)&lt;(B66+D66))*((Indisponibilités!$D$2:$D$101+Indisponibilités!$E$2:$E$101)&gt;(B66+C66)))&gt;0,"INDISPONIBLE","OK")))</f>
        <v/>
      </c>
      <c r="R66" s="9">
        <f>IF(OR(I66="",K66=""),"",IF(COUNTIFS(Chantiers_Zones!$B$2:$B$101,I66,Chantiers_Zones!$D$2:$D$101,K66,Chantiers_Zones!$E$2:$E$101,"Oui")&gt;0,"OK","ZONE INVALIDE"))</f>
        <v/>
      </c>
      <c r="S66" s="9">
        <f>IF(OR(B66="",I66=""),"",IFERROR(IF(AND(B66&gt;=_xlfn.XLOOKUP(I66,Chantiers_Zones!$B$2:$B$101,Chantiers_Zones!$F$2:$F$101),B66&lt;=_xlfn.XLOOKUP(I66,Chantiers_Zones!$B$2:$B$101,Chantiers_Zones!$G$2:$G$101)),"OK","HORS PÉRIODE"),"CHANTIER INCONNU"))</f>
        <v/>
      </c>
      <c r="T66" s="9">
        <f>IF(COUNTA(A66:D66,F66,I66,K66:O66)=0,"",IF(M66="Annulée","OK",IF(OR(A66="",B66="",C66="",D66="",F66="",I66="",K66="",L66="",M66=""),"INCOMPLET",IF(D66&lt;=C66,"HORAIRES INVALIDES",IF(OR(C66&lt;Paramètres!$B$3,D66&gt;Paramètres!$B$4),"HORS PLAGE",IF(P66&lt;&gt;"OK",P66,IF(Q66&lt;&gt;"OK",Q66,IF(R66&lt;&gt;"OK",R66,IF(S66&lt;&gt;"OK",S66,"OK")))))))))</f>
        <v/>
      </c>
    </row>
    <row r="67">
      <c r="A67" s="12" t="n"/>
      <c r="B67" s="24" t="n"/>
      <c r="C67" s="25" t="n"/>
      <c r="D67" s="25" t="n"/>
      <c r="E67" s="15">
        <f>IF(OR(C67="",D67=""),"",IF(D67&gt;C67,(D67-C67)*24,""))</f>
        <v/>
      </c>
      <c r="F67" s="12" t="n"/>
      <c r="G67" s="16">
        <f>IF(F67="","",IFERROR(_xlfn.XLOOKUP(F67,Intervenants!$A$2:$A$101,Intervenants!$B$2:$B$101),"ID inconnu"))</f>
        <v/>
      </c>
      <c r="H67" s="16">
        <f>IF(F67="","",IFERROR(_xlfn.XLOOKUP(F67,Intervenants!$A$2:$A$101,Intervenants!$C$2:$C$101),"ID inconnu"))</f>
        <v/>
      </c>
      <c r="I67" s="12" t="n"/>
      <c r="J67" s="16">
        <f>IF(I67="","",IFERROR(_xlfn.XLOOKUP(I67,Chantiers_Zones!$B$2:$B$101,Chantiers_Zones!$C$2:$C$101),"CHANTIER INCONNU"))</f>
        <v/>
      </c>
      <c r="K67" s="12" t="n"/>
      <c r="L67" s="12" t="n"/>
      <c r="M67" s="8" t="n"/>
      <c r="N67" s="8" t="n"/>
      <c r="O67" s="17" t="n"/>
      <c r="P67" s="9">
        <f>IF(M67="Annulée","OK",IF(OR(B67="",C67="",D67="",F67=""),"",IF(COUNTIFS($F$7:$F$206,F67,$B$7:$B$206,B67,$C$7:$C$206,"&lt;"&amp;D67,$D$7:$D$206,"&gt;"&amp;C67,$M$7:$M$206,"&lt;&gt;Annulée")&gt;1,"DOUBLE RÉSERVATION","OK")))</f>
        <v/>
      </c>
      <c r="Q67" s="9">
        <f>IF(M67="Annulée","OK",IF(OR(B67="",C67="",D67="",F67=""),"",IF(SUMPRODUCT((Indisponibilités!$A$2:$A$101=F67)*((Indisponibilités!$B$2:$B$101+Indisponibilités!$C$2:$C$101)&lt;(B67+D67))*((Indisponibilités!$D$2:$D$101+Indisponibilités!$E$2:$E$101)&gt;(B67+C67)))&gt;0,"INDISPONIBLE","OK")))</f>
        <v/>
      </c>
      <c r="R67" s="9">
        <f>IF(OR(I67="",K67=""),"",IF(COUNTIFS(Chantiers_Zones!$B$2:$B$101,I67,Chantiers_Zones!$D$2:$D$101,K67,Chantiers_Zones!$E$2:$E$101,"Oui")&gt;0,"OK","ZONE INVALIDE"))</f>
        <v/>
      </c>
      <c r="S67" s="9">
        <f>IF(OR(B67="",I67=""),"",IFERROR(IF(AND(B67&gt;=_xlfn.XLOOKUP(I67,Chantiers_Zones!$B$2:$B$101,Chantiers_Zones!$F$2:$F$101),B67&lt;=_xlfn.XLOOKUP(I67,Chantiers_Zones!$B$2:$B$101,Chantiers_Zones!$G$2:$G$101)),"OK","HORS PÉRIODE"),"CHANTIER INCONNU"))</f>
        <v/>
      </c>
      <c r="T67" s="9">
        <f>IF(COUNTA(A67:D67,F67,I67,K67:O67)=0,"",IF(M67="Annulée","OK",IF(OR(A67="",B67="",C67="",D67="",F67="",I67="",K67="",L67="",M67=""),"INCOMPLET",IF(D67&lt;=C67,"HORAIRES INVALIDES",IF(OR(C67&lt;Paramètres!$B$3,D67&gt;Paramètres!$B$4),"HORS PLAGE",IF(P67&lt;&gt;"OK",P67,IF(Q67&lt;&gt;"OK",Q67,IF(R67&lt;&gt;"OK",R67,IF(S67&lt;&gt;"OK",S67,"OK")))))))))</f>
        <v/>
      </c>
    </row>
    <row r="68">
      <c r="A68" s="12" t="n"/>
      <c r="B68" s="24" t="n"/>
      <c r="C68" s="25" t="n"/>
      <c r="D68" s="25" t="n"/>
      <c r="E68" s="15">
        <f>IF(OR(C68="",D68=""),"",IF(D68&gt;C68,(D68-C68)*24,""))</f>
        <v/>
      </c>
      <c r="F68" s="12" t="n"/>
      <c r="G68" s="16">
        <f>IF(F68="","",IFERROR(_xlfn.XLOOKUP(F68,Intervenants!$A$2:$A$101,Intervenants!$B$2:$B$101),"ID inconnu"))</f>
        <v/>
      </c>
      <c r="H68" s="16">
        <f>IF(F68="","",IFERROR(_xlfn.XLOOKUP(F68,Intervenants!$A$2:$A$101,Intervenants!$C$2:$C$101),"ID inconnu"))</f>
        <v/>
      </c>
      <c r="I68" s="12" t="n"/>
      <c r="J68" s="16">
        <f>IF(I68="","",IFERROR(_xlfn.XLOOKUP(I68,Chantiers_Zones!$B$2:$B$101,Chantiers_Zones!$C$2:$C$101),"CHANTIER INCONNU"))</f>
        <v/>
      </c>
      <c r="K68" s="12" t="n"/>
      <c r="L68" s="12" t="n"/>
      <c r="M68" s="8" t="n"/>
      <c r="N68" s="8" t="n"/>
      <c r="O68" s="17" t="n"/>
      <c r="P68" s="9">
        <f>IF(M68="Annulée","OK",IF(OR(B68="",C68="",D68="",F68=""),"",IF(COUNTIFS($F$7:$F$206,F68,$B$7:$B$206,B68,$C$7:$C$206,"&lt;"&amp;D68,$D$7:$D$206,"&gt;"&amp;C68,$M$7:$M$206,"&lt;&gt;Annulée")&gt;1,"DOUBLE RÉSERVATION","OK")))</f>
        <v/>
      </c>
      <c r="Q68" s="9">
        <f>IF(M68="Annulée","OK",IF(OR(B68="",C68="",D68="",F68=""),"",IF(SUMPRODUCT((Indisponibilités!$A$2:$A$101=F68)*((Indisponibilités!$B$2:$B$101+Indisponibilités!$C$2:$C$101)&lt;(B68+D68))*((Indisponibilités!$D$2:$D$101+Indisponibilités!$E$2:$E$101)&gt;(B68+C68)))&gt;0,"INDISPONIBLE","OK")))</f>
        <v/>
      </c>
      <c r="R68" s="9">
        <f>IF(OR(I68="",K68=""),"",IF(COUNTIFS(Chantiers_Zones!$B$2:$B$101,I68,Chantiers_Zones!$D$2:$D$101,K68,Chantiers_Zones!$E$2:$E$101,"Oui")&gt;0,"OK","ZONE INVALIDE"))</f>
        <v/>
      </c>
      <c r="S68" s="9">
        <f>IF(OR(B68="",I68=""),"",IFERROR(IF(AND(B68&gt;=_xlfn.XLOOKUP(I68,Chantiers_Zones!$B$2:$B$101,Chantiers_Zones!$F$2:$F$101),B68&lt;=_xlfn.XLOOKUP(I68,Chantiers_Zones!$B$2:$B$101,Chantiers_Zones!$G$2:$G$101)),"OK","HORS PÉRIODE"),"CHANTIER INCONNU"))</f>
        <v/>
      </c>
      <c r="T68" s="9">
        <f>IF(COUNTA(A68:D68,F68,I68,K68:O68)=0,"",IF(M68="Annulée","OK",IF(OR(A68="",B68="",C68="",D68="",F68="",I68="",K68="",L68="",M68=""),"INCOMPLET",IF(D68&lt;=C68,"HORAIRES INVALIDES",IF(OR(C68&lt;Paramètres!$B$3,D68&gt;Paramètres!$B$4),"HORS PLAGE",IF(P68&lt;&gt;"OK",P68,IF(Q68&lt;&gt;"OK",Q68,IF(R68&lt;&gt;"OK",R68,IF(S68&lt;&gt;"OK",S68,"OK")))))))))</f>
        <v/>
      </c>
    </row>
    <row r="69">
      <c r="A69" s="12" t="n"/>
      <c r="B69" s="24" t="n"/>
      <c r="C69" s="25" t="n"/>
      <c r="D69" s="25" t="n"/>
      <c r="E69" s="15">
        <f>IF(OR(C69="",D69=""),"",IF(D69&gt;C69,(D69-C69)*24,""))</f>
        <v/>
      </c>
      <c r="F69" s="12" t="n"/>
      <c r="G69" s="16">
        <f>IF(F69="","",IFERROR(_xlfn.XLOOKUP(F69,Intervenants!$A$2:$A$101,Intervenants!$B$2:$B$101),"ID inconnu"))</f>
        <v/>
      </c>
      <c r="H69" s="16">
        <f>IF(F69="","",IFERROR(_xlfn.XLOOKUP(F69,Intervenants!$A$2:$A$101,Intervenants!$C$2:$C$101),"ID inconnu"))</f>
        <v/>
      </c>
      <c r="I69" s="12" t="n"/>
      <c r="J69" s="16">
        <f>IF(I69="","",IFERROR(_xlfn.XLOOKUP(I69,Chantiers_Zones!$B$2:$B$101,Chantiers_Zones!$C$2:$C$101),"CHANTIER INCONNU"))</f>
        <v/>
      </c>
      <c r="K69" s="12" t="n"/>
      <c r="L69" s="12" t="n"/>
      <c r="M69" s="8" t="n"/>
      <c r="N69" s="8" t="n"/>
      <c r="O69" s="17" t="n"/>
      <c r="P69" s="9">
        <f>IF(M69="Annulée","OK",IF(OR(B69="",C69="",D69="",F69=""),"",IF(COUNTIFS($F$7:$F$206,F69,$B$7:$B$206,B69,$C$7:$C$206,"&lt;"&amp;D69,$D$7:$D$206,"&gt;"&amp;C69,$M$7:$M$206,"&lt;&gt;Annulée")&gt;1,"DOUBLE RÉSERVATION","OK")))</f>
        <v/>
      </c>
      <c r="Q69" s="9">
        <f>IF(M69="Annulée","OK",IF(OR(B69="",C69="",D69="",F69=""),"",IF(SUMPRODUCT((Indisponibilités!$A$2:$A$101=F69)*((Indisponibilités!$B$2:$B$101+Indisponibilités!$C$2:$C$101)&lt;(B69+D69))*((Indisponibilités!$D$2:$D$101+Indisponibilités!$E$2:$E$101)&gt;(B69+C69)))&gt;0,"INDISPONIBLE","OK")))</f>
        <v/>
      </c>
      <c r="R69" s="9">
        <f>IF(OR(I69="",K69=""),"",IF(COUNTIFS(Chantiers_Zones!$B$2:$B$101,I69,Chantiers_Zones!$D$2:$D$101,K69,Chantiers_Zones!$E$2:$E$101,"Oui")&gt;0,"OK","ZONE INVALIDE"))</f>
        <v/>
      </c>
      <c r="S69" s="9">
        <f>IF(OR(B69="",I69=""),"",IFERROR(IF(AND(B69&gt;=_xlfn.XLOOKUP(I69,Chantiers_Zones!$B$2:$B$101,Chantiers_Zones!$F$2:$F$101),B69&lt;=_xlfn.XLOOKUP(I69,Chantiers_Zones!$B$2:$B$101,Chantiers_Zones!$G$2:$G$101)),"OK","HORS PÉRIODE"),"CHANTIER INCONNU"))</f>
        <v/>
      </c>
      <c r="T69" s="9">
        <f>IF(COUNTA(A69:D69,F69,I69,K69:O69)=0,"",IF(M69="Annulée","OK",IF(OR(A69="",B69="",C69="",D69="",F69="",I69="",K69="",L69="",M69=""),"INCOMPLET",IF(D69&lt;=C69,"HORAIRES INVALIDES",IF(OR(C69&lt;Paramètres!$B$3,D69&gt;Paramètres!$B$4),"HORS PLAGE",IF(P69&lt;&gt;"OK",P69,IF(Q69&lt;&gt;"OK",Q69,IF(R69&lt;&gt;"OK",R69,IF(S69&lt;&gt;"OK",S69,"OK")))))))))</f>
        <v/>
      </c>
    </row>
    <row r="70">
      <c r="A70" s="12" t="n"/>
      <c r="B70" s="24" t="n"/>
      <c r="C70" s="25" t="n"/>
      <c r="D70" s="25" t="n"/>
      <c r="E70" s="15">
        <f>IF(OR(C70="",D70=""),"",IF(D70&gt;C70,(D70-C70)*24,""))</f>
        <v/>
      </c>
      <c r="F70" s="12" t="n"/>
      <c r="G70" s="16">
        <f>IF(F70="","",IFERROR(_xlfn.XLOOKUP(F70,Intervenants!$A$2:$A$101,Intervenants!$B$2:$B$101),"ID inconnu"))</f>
        <v/>
      </c>
      <c r="H70" s="16">
        <f>IF(F70="","",IFERROR(_xlfn.XLOOKUP(F70,Intervenants!$A$2:$A$101,Intervenants!$C$2:$C$101),"ID inconnu"))</f>
        <v/>
      </c>
      <c r="I70" s="12" t="n"/>
      <c r="J70" s="16">
        <f>IF(I70="","",IFERROR(_xlfn.XLOOKUP(I70,Chantiers_Zones!$B$2:$B$101,Chantiers_Zones!$C$2:$C$101),"CHANTIER INCONNU"))</f>
        <v/>
      </c>
      <c r="K70" s="12" t="n"/>
      <c r="L70" s="12" t="n"/>
      <c r="M70" s="8" t="n"/>
      <c r="N70" s="8" t="n"/>
      <c r="O70" s="17" t="n"/>
      <c r="P70" s="9">
        <f>IF(M70="Annulée","OK",IF(OR(B70="",C70="",D70="",F70=""),"",IF(COUNTIFS($F$7:$F$206,F70,$B$7:$B$206,B70,$C$7:$C$206,"&lt;"&amp;D70,$D$7:$D$206,"&gt;"&amp;C70,$M$7:$M$206,"&lt;&gt;Annulée")&gt;1,"DOUBLE RÉSERVATION","OK")))</f>
        <v/>
      </c>
      <c r="Q70" s="9">
        <f>IF(M70="Annulée","OK",IF(OR(B70="",C70="",D70="",F70=""),"",IF(SUMPRODUCT((Indisponibilités!$A$2:$A$101=F70)*((Indisponibilités!$B$2:$B$101+Indisponibilités!$C$2:$C$101)&lt;(B70+D70))*((Indisponibilités!$D$2:$D$101+Indisponibilités!$E$2:$E$101)&gt;(B70+C70)))&gt;0,"INDISPONIBLE","OK")))</f>
        <v/>
      </c>
      <c r="R70" s="9">
        <f>IF(OR(I70="",K70=""),"",IF(COUNTIFS(Chantiers_Zones!$B$2:$B$101,I70,Chantiers_Zones!$D$2:$D$101,K70,Chantiers_Zones!$E$2:$E$101,"Oui")&gt;0,"OK","ZONE INVALIDE"))</f>
        <v/>
      </c>
      <c r="S70" s="9">
        <f>IF(OR(B70="",I70=""),"",IFERROR(IF(AND(B70&gt;=_xlfn.XLOOKUP(I70,Chantiers_Zones!$B$2:$B$101,Chantiers_Zones!$F$2:$F$101),B70&lt;=_xlfn.XLOOKUP(I70,Chantiers_Zones!$B$2:$B$101,Chantiers_Zones!$G$2:$G$101)),"OK","HORS PÉRIODE"),"CHANTIER INCONNU"))</f>
        <v/>
      </c>
      <c r="T70" s="9">
        <f>IF(COUNTA(A70:D70,F70,I70,K70:O70)=0,"",IF(M70="Annulée","OK",IF(OR(A70="",B70="",C70="",D70="",F70="",I70="",K70="",L70="",M70=""),"INCOMPLET",IF(D70&lt;=C70,"HORAIRES INVALIDES",IF(OR(C70&lt;Paramètres!$B$3,D70&gt;Paramètres!$B$4),"HORS PLAGE",IF(P70&lt;&gt;"OK",P70,IF(Q70&lt;&gt;"OK",Q70,IF(R70&lt;&gt;"OK",R70,IF(S70&lt;&gt;"OK",S70,"OK")))))))))</f>
        <v/>
      </c>
    </row>
    <row r="71">
      <c r="A71" s="12" t="n"/>
      <c r="B71" s="24" t="n"/>
      <c r="C71" s="25" t="n"/>
      <c r="D71" s="25" t="n"/>
      <c r="E71" s="15">
        <f>IF(OR(C71="",D71=""),"",IF(D71&gt;C71,(D71-C71)*24,""))</f>
        <v/>
      </c>
      <c r="F71" s="12" t="n"/>
      <c r="G71" s="16">
        <f>IF(F71="","",IFERROR(_xlfn.XLOOKUP(F71,Intervenants!$A$2:$A$101,Intervenants!$B$2:$B$101),"ID inconnu"))</f>
        <v/>
      </c>
      <c r="H71" s="16">
        <f>IF(F71="","",IFERROR(_xlfn.XLOOKUP(F71,Intervenants!$A$2:$A$101,Intervenants!$C$2:$C$101),"ID inconnu"))</f>
        <v/>
      </c>
      <c r="I71" s="12" t="n"/>
      <c r="J71" s="16">
        <f>IF(I71="","",IFERROR(_xlfn.XLOOKUP(I71,Chantiers_Zones!$B$2:$B$101,Chantiers_Zones!$C$2:$C$101),"CHANTIER INCONNU"))</f>
        <v/>
      </c>
      <c r="K71" s="12" t="n"/>
      <c r="L71" s="12" t="n"/>
      <c r="M71" s="8" t="n"/>
      <c r="N71" s="8" t="n"/>
      <c r="O71" s="17" t="n"/>
      <c r="P71" s="9">
        <f>IF(M71="Annulée","OK",IF(OR(B71="",C71="",D71="",F71=""),"",IF(COUNTIFS($F$7:$F$206,F71,$B$7:$B$206,B71,$C$7:$C$206,"&lt;"&amp;D71,$D$7:$D$206,"&gt;"&amp;C71,$M$7:$M$206,"&lt;&gt;Annulée")&gt;1,"DOUBLE RÉSERVATION","OK")))</f>
        <v/>
      </c>
      <c r="Q71" s="9">
        <f>IF(M71="Annulée","OK",IF(OR(B71="",C71="",D71="",F71=""),"",IF(SUMPRODUCT((Indisponibilités!$A$2:$A$101=F71)*((Indisponibilités!$B$2:$B$101+Indisponibilités!$C$2:$C$101)&lt;(B71+D71))*((Indisponibilités!$D$2:$D$101+Indisponibilités!$E$2:$E$101)&gt;(B71+C71)))&gt;0,"INDISPONIBLE","OK")))</f>
        <v/>
      </c>
      <c r="R71" s="9">
        <f>IF(OR(I71="",K71=""),"",IF(COUNTIFS(Chantiers_Zones!$B$2:$B$101,I71,Chantiers_Zones!$D$2:$D$101,K71,Chantiers_Zones!$E$2:$E$101,"Oui")&gt;0,"OK","ZONE INVALIDE"))</f>
        <v/>
      </c>
      <c r="S71" s="9">
        <f>IF(OR(B71="",I71=""),"",IFERROR(IF(AND(B71&gt;=_xlfn.XLOOKUP(I71,Chantiers_Zones!$B$2:$B$101,Chantiers_Zones!$F$2:$F$101),B71&lt;=_xlfn.XLOOKUP(I71,Chantiers_Zones!$B$2:$B$101,Chantiers_Zones!$G$2:$G$101)),"OK","HORS PÉRIODE"),"CHANTIER INCONNU"))</f>
        <v/>
      </c>
      <c r="T71" s="9">
        <f>IF(COUNTA(A71:D71,F71,I71,K71:O71)=0,"",IF(M71="Annulée","OK",IF(OR(A71="",B71="",C71="",D71="",F71="",I71="",K71="",L71="",M71=""),"INCOMPLET",IF(D71&lt;=C71,"HORAIRES INVALIDES",IF(OR(C71&lt;Paramètres!$B$3,D71&gt;Paramètres!$B$4),"HORS PLAGE",IF(P71&lt;&gt;"OK",P71,IF(Q71&lt;&gt;"OK",Q71,IF(R71&lt;&gt;"OK",R71,IF(S71&lt;&gt;"OK",S71,"OK")))))))))</f>
        <v/>
      </c>
    </row>
    <row r="72">
      <c r="A72" s="12" t="n"/>
      <c r="B72" s="24" t="n"/>
      <c r="C72" s="25" t="n"/>
      <c r="D72" s="25" t="n"/>
      <c r="E72" s="15">
        <f>IF(OR(C72="",D72=""),"",IF(D72&gt;C72,(D72-C72)*24,""))</f>
        <v/>
      </c>
      <c r="F72" s="12" t="n"/>
      <c r="G72" s="16">
        <f>IF(F72="","",IFERROR(_xlfn.XLOOKUP(F72,Intervenants!$A$2:$A$101,Intervenants!$B$2:$B$101),"ID inconnu"))</f>
        <v/>
      </c>
      <c r="H72" s="16">
        <f>IF(F72="","",IFERROR(_xlfn.XLOOKUP(F72,Intervenants!$A$2:$A$101,Intervenants!$C$2:$C$101),"ID inconnu"))</f>
        <v/>
      </c>
      <c r="I72" s="12" t="n"/>
      <c r="J72" s="16">
        <f>IF(I72="","",IFERROR(_xlfn.XLOOKUP(I72,Chantiers_Zones!$B$2:$B$101,Chantiers_Zones!$C$2:$C$101),"CHANTIER INCONNU"))</f>
        <v/>
      </c>
      <c r="K72" s="12" t="n"/>
      <c r="L72" s="12" t="n"/>
      <c r="M72" s="8" t="n"/>
      <c r="N72" s="8" t="n"/>
      <c r="O72" s="17" t="n"/>
      <c r="P72" s="9">
        <f>IF(M72="Annulée","OK",IF(OR(B72="",C72="",D72="",F72=""),"",IF(COUNTIFS($F$7:$F$206,F72,$B$7:$B$206,B72,$C$7:$C$206,"&lt;"&amp;D72,$D$7:$D$206,"&gt;"&amp;C72,$M$7:$M$206,"&lt;&gt;Annulée")&gt;1,"DOUBLE RÉSERVATION","OK")))</f>
        <v/>
      </c>
      <c r="Q72" s="9">
        <f>IF(M72="Annulée","OK",IF(OR(B72="",C72="",D72="",F72=""),"",IF(SUMPRODUCT((Indisponibilités!$A$2:$A$101=F72)*((Indisponibilités!$B$2:$B$101+Indisponibilités!$C$2:$C$101)&lt;(B72+D72))*((Indisponibilités!$D$2:$D$101+Indisponibilités!$E$2:$E$101)&gt;(B72+C72)))&gt;0,"INDISPONIBLE","OK")))</f>
        <v/>
      </c>
      <c r="R72" s="9">
        <f>IF(OR(I72="",K72=""),"",IF(COUNTIFS(Chantiers_Zones!$B$2:$B$101,I72,Chantiers_Zones!$D$2:$D$101,K72,Chantiers_Zones!$E$2:$E$101,"Oui")&gt;0,"OK","ZONE INVALIDE"))</f>
        <v/>
      </c>
      <c r="S72" s="9">
        <f>IF(OR(B72="",I72=""),"",IFERROR(IF(AND(B72&gt;=_xlfn.XLOOKUP(I72,Chantiers_Zones!$B$2:$B$101,Chantiers_Zones!$F$2:$F$101),B72&lt;=_xlfn.XLOOKUP(I72,Chantiers_Zones!$B$2:$B$101,Chantiers_Zones!$G$2:$G$101)),"OK","HORS PÉRIODE"),"CHANTIER INCONNU"))</f>
        <v/>
      </c>
      <c r="T72" s="9">
        <f>IF(COUNTA(A72:D72,F72,I72,K72:O72)=0,"",IF(M72="Annulée","OK",IF(OR(A72="",B72="",C72="",D72="",F72="",I72="",K72="",L72="",M72=""),"INCOMPLET",IF(D72&lt;=C72,"HORAIRES INVALIDES",IF(OR(C72&lt;Paramètres!$B$3,D72&gt;Paramètres!$B$4),"HORS PLAGE",IF(P72&lt;&gt;"OK",P72,IF(Q72&lt;&gt;"OK",Q72,IF(R72&lt;&gt;"OK",R72,IF(S72&lt;&gt;"OK",S72,"OK")))))))))</f>
        <v/>
      </c>
    </row>
    <row r="73">
      <c r="A73" s="12" t="n"/>
      <c r="B73" s="24" t="n"/>
      <c r="C73" s="25" t="n"/>
      <c r="D73" s="25" t="n"/>
      <c r="E73" s="15">
        <f>IF(OR(C73="",D73=""),"",IF(D73&gt;C73,(D73-C73)*24,""))</f>
        <v/>
      </c>
      <c r="F73" s="12" t="n"/>
      <c r="G73" s="16">
        <f>IF(F73="","",IFERROR(_xlfn.XLOOKUP(F73,Intervenants!$A$2:$A$101,Intervenants!$B$2:$B$101),"ID inconnu"))</f>
        <v/>
      </c>
      <c r="H73" s="16">
        <f>IF(F73="","",IFERROR(_xlfn.XLOOKUP(F73,Intervenants!$A$2:$A$101,Intervenants!$C$2:$C$101),"ID inconnu"))</f>
        <v/>
      </c>
      <c r="I73" s="12" t="n"/>
      <c r="J73" s="16">
        <f>IF(I73="","",IFERROR(_xlfn.XLOOKUP(I73,Chantiers_Zones!$B$2:$B$101,Chantiers_Zones!$C$2:$C$101),"CHANTIER INCONNU"))</f>
        <v/>
      </c>
      <c r="K73" s="12" t="n"/>
      <c r="L73" s="12" t="n"/>
      <c r="M73" s="8" t="n"/>
      <c r="N73" s="8" t="n"/>
      <c r="O73" s="17" t="n"/>
      <c r="P73" s="9">
        <f>IF(M73="Annulée","OK",IF(OR(B73="",C73="",D73="",F73=""),"",IF(COUNTIFS($F$7:$F$206,F73,$B$7:$B$206,B73,$C$7:$C$206,"&lt;"&amp;D73,$D$7:$D$206,"&gt;"&amp;C73,$M$7:$M$206,"&lt;&gt;Annulée")&gt;1,"DOUBLE RÉSERVATION","OK")))</f>
        <v/>
      </c>
      <c r="Q73" s="9">
        <f>IF(M73="Annulée","OK",IF(OR(B73="",C73="",D73="",F73=""),"",IF(SUMPRODUCT((Indisponibilités!$A$2:$A$101=F73)*((Indisponibilités!$B$2:$B$101+Indisponibilités!$C$2:$C$101)&lt;(B73+D73))*((Indisponibilités!$D$2:$D$101+Indisponibilités!$E$2:$E$101)&gt;(B73+C73)))&gt;0,"INDISPONIBLE","OK")))</f>
        <v/>
      </c>
      <c r="R73" s="9">
        <f>IF(OR(I73="",K73=""),"",IF(COUNTIFS(Chantiers_Zones!$B$2:$B$101,I73,Chantiers_Zones!$D$2:$D$101,K73,Chantiers_Zones!$E$2:$E$101,"Oui")&gt;0,"OK","ZONE INVALIDE"))</f>
        <v/>
      </c>
      <c r="S73" s="9">
        <f>IF(OR(B73="",I73=""),"",IFERROR(IF(AND(B73&gt;=_xlfn.XLOOKUP(I73,Chantiers_Zones!$B$2:$B$101,Chantiers_Zones!$F$2:$F$101),B73&lt;=_xlfn.XLOOKUP(I73,Chantiers_Zones!$B$2:$B$101,Chantiers_Zones!$G$2:$G$101)),"OK","HORS PÉRIODE"),"CHANTIER INCONNU"))</f>
        <v/>
      </c>
      <c r="T73" s="9">
        <f>IF(COUNTA(A73:D73,F73,I73,K73:O73)=0,"",IF(M73="Annulée","OK",IF(OR(A73="",B73="",C73="",D73="",F73="",I73="",K73="",L73="",M73=""),"INCOMPLET",IF(D73&lt;=C73,"HORAIRES INVALIDES",IF(OR(C73&lt;Paramètres!$B$3,D73&gt;Paramètres!$B$4),"HORS PLAGE",IF(P73&lt;&gt;"OK",P73,IF(Q73&lt;&gt;"OK",Q73,IF(R73&lt;&gt;"OK",R73,IF(S73&lt;&gt;"OK",S73,"OK")))))))))</f>
        <v/>
      </c>
    </row>
    <row r="74">
      <c r="A74" s="12" t="n"/>
      <c r="B74" s="24" t="n"/>
      <c r="C74" s="25" t="n"/>
      <c r="D74" s="25" t="n"/>
      <c r="E74" s="15">
        <f>IF(OR(C74="",D74=""),"",IF(D74&gt;C74,(D74-C74)*24,""))</f>
        <v/>
      </c>
      <c r="F74" s="12" t="n"/>
      <c r="G74" s="16">
        <f>IF(F74="","",IFERROR(_xlfn.XLOOKUP(F74,Intervenants!$A$2:$A$101,Intervenants!$B$2:$B$101),"ID inconnu"))</f>
        <v/>
      </c>
      <c r="H74" s="16">
        <f>IF(F74="","",IFERROR(_xlfn.XLOOKUP(F74,Intervenants!$A$2:$A$101,Intervenants!$C$2:$C$101),"ID inconnu"))</f>
        <v/>
      </c>
      <c r="I74" s="12" t="n"/>
      <c r="J74" s="16">
        <f>IF(I74="","",IFERROR(_xlfn.XLOOKUP(I74,Chantiers_Zones!$B$2:$B$101,Chantiers_Zones!$C$2:$C$101),"CHANTIER INCONNU"))</f>
        <v/>
      </c>
      <c r="K74" s="12" t="n"/>
      <c r="L74" s="12" t="n"/>
      <c r="M74" s="8" t="n"/>
      <c r="N74" s="8" t="n"/>
      <c r="O74" s="17" t="n"/>
      <c r="P74" s="9">
        <f>IF(M74="Annulée","OK",IF(OR(B74="",C74="",D74="",F74=""),"",IF(COUNTIFS($F$7:$F$206,F74,$B$7:$B$206,B74,$C$7:$C$206,"&lt;"&amp;D74,$D$7:$D$206,"&gt;"&amp;C74,$M$7:$M$206,"&lt;&gt;Annulée")&gt;1,"DOUBLE RÉSERVATION","OK")))</f>
        <v/>
      </c>
      <c r="Q74" s="9">
        <f>IF(M74="Annulée","OK",IF(OR(B74="",C74="",D74="",F74=""),"",IF(SUMPRODUCT((Indisponibilités!$A$2:$A$101=F74)*((Indisponibilités!$B$2:$B$101+Indisponibilités!$C$2:$C$101)&lt;(B74+D74))*((Indisponibilités!$D$2:$D$101+Indisponibilités!$E$2:$E$101)&gt;(B74+C74)))&gt;0,"INDISPONIBLE","OK")))</f>
        <v/>
      </c>
      <c r="R74" s="9">
        <f>IF(OR(I74="",K74=""),"",IF(COUNTIFS(Chantiers_Zones!$B$2:$B$101,I74,Chantiers_Zones!$D$2:$D$101,K74,Chantiers_Zones!$E$2:$E$101,"Oui")&gt;0,"OK","ZONE INVALIDE"))</f>
        <v/>
      </c>
      <c r="S74" s="9">
        <f>IF(OR(B74="",I74=""),"",IFERROR(IF(AND(B74&gt;=_xlfn.XLOOKUP(I74,Chantiers_Zones!$B$2:$B$101,Chantiers_Zones!$F$2:$F$101),B74&lt;=_xlfn.XLOOKUP(I74,Chantiers_Zones!$B$2:$B$101,Chantiers_Zones!$G$2:$G$101)),"OK","HORS PÉRIODE"),"CHANTIER INCONNU"))</f>
        <v/>
      </c>
      <c r="T74" s="9">
        <f>IF(COUNTA(A74:D74,F74,I74,K74:O74)=0,"",IF(M74="Annulée","OK",IF(OR(A74="",B74="",C74="",D74="",F74="",I74="",K74="",L74="",M74=""),"INCOMPLET",IF(D74&lt;=C74,"HORAIRES INVALIDES",IF(OR(C74&lt;Paramètres!$B$3,D74&gt;Paramètres!$B$4),"HORS PLAGE",IF(P74&lt;&gt;"OK",P74,IF(Q74&lt;&gt;"OK",Q74,IF(R74&lt;&gt;"OK",R74,IF(S74&lt;&gt;"OK",S74,"OK")))))))))</f>
        <v/>
      </c>
    </row>
    <row r="75">
      <c r="A75" s="12" t="n"/>
      <c r="B75" s="24" t="n"/>
      <c r="C75" s="25" t="n"/>
      <c r="D75" s="25" t="n"/>
      <c r="E75" s="15">
        <f>IF(OR(C75="",D75=""),"",IF(D75&gt;C75,(D75-C75)*24,""))</f>
        <v/>
      </c>
      <c r="F75" s="12" t="n"/>
      <c r="G75" s="16">
        <f>IF(F75="","",IFERROR(_xlfn.XLOOKUP(F75,Intervenants!$A$2:$A$101,Intervenants!$B$2:$B$101),"ID inconnu"))</f>
        <v/>
      </c>
      <c r="H75" s="16">
        <f>IF(F75="","",IFERROR(_xlfn.XLOOKUP(F75,Intervenants!$A$2:$A$101,Intervenants!$C$2:$C$101),"ID inconnu"))</f>
        <v/>
      </c>
      <c r="I75" s="12" t="n"/>
      <c r="J75" s="16">
        <f>IF(I75="","",IFERROR(_xlfn.XLOOKUP(I75,Chantiers_Zones!$B$2:$B$101,Chantiers_Zones!$C$2:$C$101),"CHANTIER INCONNU"))</f>
        <v/>
      </c>
      <c r="K75" s="12" t="n"/>
      <c r="L75" s="12" t="n"/>
      <c r="M75" s="8" t="n"/>
      <c r="N75" s="8" t="n"/>
      <c r="O75" s="17" t="n"/>
      <c r="P75" s="9">
        <f>IF(M75="Annulée","OK",IF(OR(B75="",C75="",D75="",F75=""),"",IF(COUNTIFS($F$7:$F$206,F75,$B$7:$B$206,B75,$C$7:$C$206,"&lt;"&amp;D75,$D$7:$D$206,"&gt;"&amp;C75,$M$7:$M$206,"&lt;&gt;Annulée")&gt;1,"DOUBLE RÉSERVATION","OK")))</f>
        <v/>
      </c>
      <c r="Q75" s="9">
        <f>IF(M75="Annulée","OK",IF(OR(B75="",C75="",D75="",F75=""),"",IF(SUMPRODUCT((Indisponibilités!$A$2:$A$101=F75)*((Indisponibilités!$B$2:$B$101+Indisponibilités!$C$2:$C$101)&lt;(B75+D75))*((Indisponibilités!$D$2:$D$101+Indisponibilités!$E$2:$E$101)&gt;(B75+C75)))&gt;0,"INDISPONIBLE","OK")))</f>
        <v/>
      </c>
      <c r="R75" s="9">
        <f>IF(OR(I75="",K75=""),"",IF(COUNTIFS(Chantiers_Zones!$B$2:$B$101,I75,Chantiers_Zones!$D$2:$D$101,K75,Chantiers_Zones!$E$2:$E$101,"Oui")&gt;0,"OK","ZONE INVALIDE"))</f>
        <v/>
      </c>
      <c r="S75" s="9">
        <f>IF(OR(B75="",I75=""),"",IFERROR(IF(AND(B75&gt;=_xlfn.XLOOKUP(I75,Chantiers_Zones!$B$2:$B$101,Chantiers_Zones!$F$2:$F$101),B75&lt;=_xlfn.XLOOKUP(I75,Chantiers_Zones!$B$2:$B$101,Chantiers_Zones!$G$2:$G$101)),"OK","HORS PÉRIODE"),"CHANTIER INCONNU"))</f>
        <v/>
      </c>
      <c r="T75" s="9">
        <f>IF(COUNTA(A75:D75,F75,I75,K75:O75)=0,"",IF(M75="Annulée","OK",IF(OR(A75="",B75="",C75="",D75="",F75="",I75="",K75="",L75="",M75=""),"INCOMPLET",IF(D75&lt;=C75,"HORAIRES INVALIDES",IF(OR(C75&lt;Paramètres!$B$3,D75&gt;Paramètres!$B$4),"HORS PLAGE",IF(P75&lt;&gt;"OK",P75,IF(Q75&lt;&gt;"OK",Q75,IF(R75&lt;&gt;"OK",R75,IF(S75&lt;&gt;"OK",S75,"OK")))))))))</f>
        <v/>
      </c>
    </row>
    <row r="76">
      <c r="A76" s="12" t="n"/>
      <c r="B76" s="24" t="n"/>
      <c r="C76" s="25" t="n"/>
      <c r="D76" s="25" t="n"/>
      <c r="E76" s="15">
        <f>IF(OR(C76="",D76=""),"",IF(D76&gt;C76,(D76-C76)*24,""))</f>
        <v/>
      </c>
      <c r="F76" s="12" t="n"/>
      <c r="G76" s="16">
        <f>IF(F76="","",IFERROR(_xlfn.XLOOKUP(F76,Intervenants!$A$2:$A$101,Intervenants!$B$2:$B$101),"ID inconnu"))</f>
        <v/>
      </c>
      <c r="H76" s="16">
        <f>IF(F76="","",IFERROR(_xlfn.XLOOKUP(F76,Intervenants!$A$2:$A$101,Intervenants!$C$2:$C$101),"ID inconnu"))</f>
        <v/>
      </c>
      <c r="I76" s="12" t="n"/>
      <c r="J76" s="16">
        <f>IF(I76="","",IFERROR(_xlfn.XLOOKUP(I76,Chantiers_Zones!$B$2:$B$101,Chantiers_Zones!$C$2:$C$101),"CHANTIER INCONNU"))</f>
        <v/>
      </c>
      <c r="K76" s="12" t="n"/>
      <c r="L76" s="12" t="n"/>
      <c r="M76" s="8" t="n"/>
      <c r="N76" s="8" t="n"/>
      <c r="O76" s="17" t="n"/>
      <c r="P76" s="9">
        <f>IF(M76="Annulée","OK",IF(OR(B76="",C76="",D76="",F76=""),"",IF(COUNTIFS($F$7:$F$206,F76,$B$7:$B$206,B76,$C$7:$C$206,"&lt;"&amp;D76,$D$7:$D$206,"&gt;"&amp;C76,$M$7:$M$206,"&lt;&gt;Annulée")&gt;1,"DOUBLE RÉSERVATION","OK")))</f>
        <v/>
      </c>
      <c r="Q76" s="9">
        <f>IF(M76="Annulée","OK",IF(OR(B76="",C76="",D76="",F76=""),"",IF(SUMPRODUCT((Indisponibilités!$A$2:$A$101=F76)*((Indisponibilités!$B$2:$B$101+Indisponibilités!$C$2:$C$101)&lt;(B76+D76))*((Indisponibilités!$D$2:$D$101+Indisponibilités!$E$2:$E$101)&gt;(B76+C76)))&gt;0,"INDISPONIBLE","OK")))</f>
        <v/>
      </c>
      <c r="R76" s="9">
        <f>IF(OR(I76="",K76=""),"",IF(COUNTIFS(Chantiers_Zones!$B$2:$B$101,I76,Chantiers_Zones!$D$2:$D$101,K76,Chantiers_Zones!$E$2:$E$101,"Oui")&gt;0,"OK","ZONE INVALIDE"))</f>
        <v/>
      </c>
      <c r="S76" s="9">
        <f>IF(OR(B76="",I76=""),"",IFERROR(IF(AND(B76&gt;=_xlfn.XLOOKUP(I76,Chantiers_Zones!$B$2:$B$101,Chantiers_Zones!$F$2:$F$101),B76&lt;=_xlfn.XLOOKUP(I76,Chantiers_Zones!$B$2:$B$101,Chantiers_Zones!$G$2:$G$101)),"OK","HORS PÉRIODE"),"CHANTIER INCONNU"))</f>
        <v/>
      </c>
      <c r="T76" s="9">
        <f>IF(COUNTA(A76:D76,F76,I76,K76:O76)=0,"",IF(M76="Annulée","OK",IF(OR(A76="",B76="",C76="",D76="",F76="",I76="",K76="",L76="",M76=""),"INCOMPLET",IF(D76&lt;=C76,"HORAIRES INVALIDES",IF(OR(C76&lt;Paramètres!$B$3,D76&gt;Paramètres!$B$4),"HORS PLAGE",IF(P76&lt;&gt;"OK",P76,IF(Q76&lt;&gt;"OK",Q76,IF(R76&lt;&gt;"OK",R76,IF(S76&lt;&gt;"OK",S76,"OK")))))))))</f>
        <v/>
      </c>
    </row>
    <row r="77">
      <c r="A77" s="12" t="n"/>
      <c r="B77" s="24" t="n"/>
      <c r="C77" s="25" t="n"/>
      <c r="D77" s="25" t="n"/>
      <c r="E77" s="15">
        <f>IF(OR(C77="",D77=""),"",IF(D77&gt;C77,(D77-C77)*24,""))</f>
        <v/>
      </c>
      <c r="F77" s="12" t="n"/>
      <c r="G77" s="16">
        <f>IF(F77="","",IFERROR(_xlfn.XLOOKUP(F77,Intervenants!$A$2:$A$101,Intervenants!$B$2:$B$101),"ID inconnu"))</f>
        <v/>
      </c>
      <c r="H77" s="16">
        <f>IF(F77="","",IFERROR(_xlfn.XLOOKUP(F77,Intervenants!$A$2:$A$101,Intervenants!$C$2:$C$101),"ID inconnu"))</f>
        <v/>
      </c>
      <c r="I77" s="12" t="n"/>
      <c r="J77" s="16">
        <f>IF(I77="","",IFERROR(_xlfn.XLOOKUP(I77,Chantiers_Zones!$B$2:$B$101,Chantiers_Zones!$C$2:$C$101),"CHANTIER INCONNU"))</f>
        <v/>
      </c>
      <c r="K77" s="12" t="n"/>
      <c r="L77" s="12" t="n"/>
      <c r="M77" s="8" t="n"/>
      <c r="N77" s="8" t="n"/>
      <c r="O77" s="17" t="n"/>
      <c r="P77" s="9">
        <f>IF(M77="Annulée","OK",IF(OR(B77="",C77="",D77="",F77=""),"",IF(COUNTIFS($F$7:$F$206,F77,$B$7:$B$206,B77,$C$7:$C$206,"&lt;"&amp;D77,$D$7:$D$206,"&gt;"&amp;C77,$M$7:$M$206,"&lt;&gt;Annulée")&gt;1,"DOUBLE RÉSERVATION","OK")))</f>
        <v/>
      </c>
      <c r="Q77" s="9">
        <f>IF(M77="Annulée","OK",IF(OR(B77="",C77="",D77="",F77=""),"",IF(SUMPRODUCT((Indisponibilités!$A$2:$A$101=F77)*((Indisponibilités!$B$2:$B$101+Indisponibilités!$C$2:$C$101)&lt;(B77+D77))*((Indisponibilités!$D$2:$D$101+Indisponibilités!$E$2:$E$101)&gt;(B77+C77)))&gt;0,"INDISPONIBLE","OK")))</f>
        <v/>
      </c>
      <c r="R77" s="9">
        <f>IF(OR(I77="",K77=""),"",IF(COUNTIFS(Chantiers_Zones!$B$2:$B$101,I77,Chantiers_Zones!$D$2:$D$101,K77,Chantiers_Zones!$E$2:$E$101,"Oui")&gt;0,"OK","ZONE INVALIDE"))</f>
        <v/>
      </c>
      <c r="S77" s="9">
        <f>IF(OR(B77="",I77=""),"",IFERROR(IF(AND(B77&gt;=_xlfn.XLOOKUP(I77,Chantiers_Zones!$B$2:$B$101,Chantiers_Zones!$F$2:$F$101),B77&lt;=_xlfn.XLOOKUP(I77,Chantiers_Zones!$B$2:$B$101,Chantiers_Zones!$G$2:$G$101)),"OK","HORS PÉRIODE"),"CHANTIER INCONNU"))</f>
        <v/>
      </c>
      <c r="T77" s="9">
        <f>IF(COUNTA(A77:D77,F77,I77,K77:O77)=0,"",IF(M77="Annulée","OK",IF(OR(A77="",B77="",C77="",D77="",F77="",I77="",K77="",L77="",M77=""),"INCOMPLET",IF(D77&lt;=C77,"HORAIRES INVALIDES",IF(OR(C77&lt;Paramètres!$B$3,D77&gt;Paramètres!$B$4),"HORS PLAGE",IF(P77&lt;&gt;"OK",P77,IF(Q77&lt;&gt;"OK",Q77,IF(R77&lt;&gt;"OK",R77,IF(S77&lt;&gt;"OK",S77,"OK")))))))))</f>
        <v/>
      </c>
    </row>
    <row r="78">
      <c r="A78" s="12" t="n"/>
      <c r="B78" s="24" t="n"/>
      <c r="C78" s="25" t="n"/>
      <c r="D78" s="25" t="n"/>
      <c r="E78" s="15">
        <f>IF(OR(C78="",D78=""),"",IF(D78&gt;C78,(D78-C78)*24,""))</f>
        <v/>
      </c>
      <c r="F78" s="12" t="n"/>
      <c r="G78" s="16">
        <f>IF(F78="","",IFERROR(_xlfn.XLOOKUP(F78,Intervenants!$A$2:$A$101,Intervenants!$B$2:$B$101),"ID inconnu"))</f>
        <v/>
      </c>
      <c r="H78" s="16">
        <f>IF(F78="","",IFERROR(_xlfn.XLOOKUP(F78,Intervenants!$A$2:$A$101,Intervenants!$C$2:$C$101),"ID inconnu"))</f>
        <v/>
      </c>
      <c r="I78" s="12" t="n"/>
      <c r="J78" s="16">
        <f>IF(I78="","",IFERROR(_xlfn.XLOOKUP(I78,Chantiers_Zones!$B$2:$B$101,Chantiers_Zones!$C$2:$C$101),"CHANTIER INCONNU"))</f>
        <v/>
      </c>
      <c r="K78" s="12" t="n"/>
      <c r="L78" s="12" t="n"/>
      <c r="M78" s="8" t="n"/>
      <c r="N78" s="8" t="n"/>
      <c r="O78" s="17" t="n"/>
      <c r="P78" s="9">
        <f>IF(M78="Annulée","OK",IF(OR(B78="",C78="",D78="",F78=""),"",IF(COUNTIFS($F$7:$F$206,F78,$B$7:$B$206,B78,$C$7:$C$206,"&lt;"&amp;D78,$D$7:$D$206,"&gt;"&amp;C78,$M$7:$M$206,"&lt;&gt;Annulée")&gt;1,"DOUBLE RÉSERVATION","OK")))</f>
        <v/>
      </c>
      <c r="Q78" s="9">
        <f>IF(M78="Annulée","OK",IF(OR(B78="",C78="",D78="",F78=""),"",IF(SUMPRODUCT((Indisponibilités!$A$2:$A$101=F78)*((Indisponibilités!$B$2:$B$101+Indisponibilités!$C$2:$C$101)&lt;(B78+D78))*((Indisponibilités!$D$2:$D$101+Indisponibilités!$E$2:$E$101)&gt;(B78+C78)))&gt;0,"INDISPONIBLE","OK")))</f>
        <v/>
      </c>
      <c r="R78" s="9">
        <f>IF(OR(I78="",K78=""),"",IF(COUNTIFS(Chantiers_Zones!$B$2:$B$101,I78,Chantiers_Zones!$D$2:$D$101,K78,Chantiers_Zones!$E$2:$E$101,"Oui")&gt;0,"OK","ZONE INVALIDE"))</f>
        <v/>
      </c>
      <c r="S78" s="9">
        <f>IF(OR(B78="",I78=""),"",IFERROR(IF(AND(B78&gt;=_xlfn.XLOOKUP(I78,Chantiers_Zones!$B$2:$B$101,Chantiers_Zones!$F$2:$F$101),B78&lt;=_xlfn.XLOOKUP(I78,Chantiers_Zones!$B$2:$B$101,Chantiers_Zones!$G$2:$G$101)),"OK","HORS PÉRIODE"),"CHANTIER INCONNU"))</f>
        <v/>
      </c>
      <c r="T78" s="9">
        <f>IF(COUNTA(A78:D78,F78,I78,K78:O78)=0,"",IF(M78="Annulée","OK",IF(OR(A78="",B78="",C78="",D78="",F78="",I78="",K78="",L78="",M78=""),"INCOMPLET",IF(D78&lt;=C78,"HORAIRES INVALIDES",IF(OR(C78&lt;Paramètres!$B$3,D78&gt;Paramètres!$B$4),"HORS PLAGE",IF(P78&lt;&gt;"OK",P78,IF(Q78&lt;&gt;"OK",Q78,IF(R78&lt;&gt;"OK",R78,IF(S78&lt;&gt;"OK",S78,"OK")))))))))</f>
        <v/>
      </c>
    </row>
    <row r="79">
      <c r="A79" s="12" t="n"/>
      <c r="B79" s="24" t="n"/>
      <c r="C79" s="25" t="n"/>
      <c r="D79" s="25" t="n"/>
      <c r="E79" s="15">
        <f>IF(OR(C79="",D79=""),"",IF(D79&gt;C79,(D79-C79)*24,""))</f>
        <v/>
      </c>
      <c r="F79" s="12" t="n"/>
      <c r="G79" s="16">
        <f>IF(F79="","",IFERROR(_xlfn.XLOOKUP(F79,Intervenants!$A$2:$A$101,Intervenants!$B$2:$B$101),"ID inconnu"))</f>
        <v/>
      </c>
      <c r="H79" s="16">
        <f>IF(F79="","",IFERROR(_xlfn.XLOOKUP(F79,Intervenants!$A$2:$A$101,Intervenants!$C$2:$C$101),"ID inconnu"))</f>
        <v/>
      </c>
      <c r="I79" s="12" t="n"/>
      <c r="J79" s="16">
        <f>IF(I79="","",IFERROR(_xlfn.XLOOKUP(I79,Chantiers_Zones!$B$2:$B$101,Chantiers_Zones!$C$2:$C$101),"CHANTIER INCONNU"))</f>
        <v/>
      </c>
      <c r="K79" s="12" t="n"/>
      <c r="L79" s="12" t="n"/>
      <c r="M79" s="8" t="n"/>
      <c r="N79" s="8" t="n"/>
      <c r="O79" s="17" t="n"/>
      <c r="P79" s="9">
        <f>IF(M79="Annulée","OK",IF(OR(B79="",C79="",D79="",F79=""),"",IF(COUNTIFS($F$7:$F$206,F79,$B$7:$B$206,B79,$C$7:$C$206,"&lt;"&amp;D79,$D$7:$D$206,"&gt;"&amp;C79,$M$7:$M$206,"&lt;&gt;Annulée")&gt;1,"DOUBLE RÉSERVATION","OK")))</f>
        <v/>
      </c>
      <c r="Q79" s="9">
        <f>IF(M79="Annulée","OK",IF(OR(B79="",C79="",D79="",F79=""),"",IF(SUMPRODUCT((Indisponibilités!$A$2:$A$101=F79)*((Indisponibilités!$B$2:$B$101+Indisponibilités!$C$2:$C$101)&lt;(B79+D79))*((Indisponibilités!$D$2:$D$101+Indisponibilités!$E$2:$E$101)&gt;(B79+C79)))&gt;0,"INDISPONIBLE","OK")))</f>
        <v/>
      </c>
      <c r="R79" s="9">
        <f>IF(OR(I79="",K79=""),"",IF(COUNTIFS(Chantiers_Zones!$B$2:$B$101,I79,Chantiers_Zones!$D$2:$D$101,K79,Chantiers_Zones!$E$2:$E$101,"Oui")&gt;0,"OK","ZONE INVALIDE"))</f>
        <v/>
      </c>
      <c r="S79" s="9">
        <f>IF(OR(B79="",I79=""),"",IFERROR(IF(AND(B79&gt;=_xlfn.XLOOKUP(I79,Chantiers_Zones!$B$2:$B$101,Chantiers_Zones!$F$2:$F$101),B79&lt;=_xlfn.XLOOKUP(I79,Chantiers_Zones!$B$2:$B$101,Chantiers_Zones!$G$2:$G$101)),"OK","HORS PÉRIODE"),"CHANTIER INCONNU"))</f>
        <v/>
      </c>
      <c r="T79" s="9">
        <f>IF(COUNTA(A79:D79,F79,I79,K79:O79)=0,"",IF(M79="Annulée","OK",IF(OR(A79="",B79="",C79="",D79="",F79="",I79="",K79="",L79="",M79=""),"INCOMPLET",IF(D79&lt;=C79,"HORAIRES INVALIDES",IF(OR(C79&lt;Paramètres!$B$3,D79&gt;Paramètres!$B$4),"HORS PLAGE",IF(P79&lt;&gt;"OK",P79,IF(Q79&lt;&gt;"OK",Q79,IF(R79&lt;&gt;"OK",R79,IF(S79&lt;&gt;"OK",S79,"OK")))))))))</f>
        <v/>
      </c>
    </row>
    <row r="80">
      <c r="A80" s="12" t="n"/>
      <c r="B80" s="24" t="n"/>
      <c r="C80" s="25" t="n"/>
      <c r="D80" s="25" t="n"/>
      <c r="E80" s="15">
        <f>IF(OR(C80="",D80=""),"",IF(D80&gt;C80,(D80-C80)*24,""))</f>
        <v/>
      </c>
      <c r="F80" s="12" t="n"/>
      <c r="G80" s="16">
        <f>IF(F80="","",IFERROR(_xlfn.XLOOKUP(F80,Intervenants!$A$2:$A$101,Intervenants!$B$2:$B$101),"ID inconnu"))</f>
        <v/>
      </c>
      <c r="H80" s="16">
        <f>IF(F80="","",IFERROR(_xlfn.XLOOKUP(F80,Intervenants!$A$2:$A$101,Intervenants!$C$2:$C$101),"ID inconnu"))</f>
        <v/>
      </c>
      <c r="I80" s="12" t="n"/>
      <c r="J80" s="16">
        <f>IF(I80="","",IFERROR(_xlfn.XLOOKUP(I80,Chantiers_Zones!$B$2:$B$101,Chantiers_Zones!$C$2:$C$101),"CHANTIER INCONNU"))</f>
        <v/>
      </c>
      <c r="K80" s="12" t="n"/>
      <c r="L80" s="12" t="n"/>
      <c r="M80" s="8" t="n"/>
      <c r="N80" s="8" t="n"/>
      <c r="O80" s="17" t="n"/>
      <c r="P80" s="9">
        <f>IF(M80="Annulée","OK",IF(OR(B80="",C80="",D80="",F80=""),"",IF(COUNTIFS($F$7:$F$206,F80,$B$7:$B$206,B80,$C$7:$C$206,"&lt;"&amp;D80,$D$7:$D$206,"&gt;"&amp;C80,$M$7:$M$206,"&lt;&gt;Annulée")&gt;1,"DOUBLE RÉSERVATION","OK")))</f>
        <v/>
      </c>
      <c r="Q80" s="9">
        <f>IF(M80="Annulée","OK",IF(OR(B80="",C80="",D80="",F80=""),"",IF(SUMPRODUCT((Indisponibilités!$A$2:$A$101=F80)*((Indisponibilités!$B$2:$B$101+Indisponibilités!$C$2:$C$101)&lt;(B80+D80))*((Indisponibilités!$D$2:$D$101+Indisponibilités!$E$2:$E$101)&gt;(B80+C80)))&gt;0,"INDISPONIBLE","OK")))</f>
        <v/>
      </c>
      <c r="R80" s="9">
        <f>IF(OR(I80="",K80=""),"",IF(COUNTIFS(Chantiers_Zones!$B$2:$B$101,I80,Chantiers_Zones!$D$2:$D$101,K80,Chantiers_Zones!$E$2:$E$101,"Oui")&gt;0,"OK","ZONE INVALIDE"))</f>
        <v/>
      </c>
      <c r="S80" s="9">
        <f>IF(OR(B80="",I80=""),"",IFERROR(IF(AND(B80&gt;=_xlfn.XLOOKUP(I80,Chantiers_Zones!$B$2:$B$101,Chantiers_Zones!$F$2:$F$101),B80&lt;=_xlfn.XLOOKUP(I80,Chantiers_Zones!$B$2:$B$101,Chantiers_Zones!$G$2:$G$101)),"OK","HORS PÉRIODE"),"CHANTIER INCONNU"))</f>
        <v/>
      </c>
      <c r="T80" s="9">
        <f>IF(COUNTA(A80:D80,F80,I80,K80:O80)=0,"",IF(M80="Annulée","OK",IF(OR(A80="",B80="",C80="",D80="",F80="",I80="",K80="",L80="",M80=""),"INCOMPLET",IF(D80&lt;=C80,"HORAIRES INVALIDES",IF(OR(C80&lt;Paramètres!$B$3,D80&gt;Paramètres!$B$4),"HORS PLAGE",IF(P80&lt;&gt;"OK",P80,IF(Q80&lt;&gt;"OK",Q80,IF(R80&lt;&gt;"OK",R80,IF(S80&lt;&gt;"OK",S80,"OK")))))))))</f>
        <v/>
      </c>
    </row>
    <row r="81">
      <c r="A81" s="12" t="n"/>
      <c r="B81" s="24" t="n"/>
      <c r="C81" s="25" t="n"/>
      <c r="D81" s="25" t="n"/>
      <c r="E81" s="15">
        <f>IF(OR(C81="",D81=""),"",IF(D81&gt;C81,(D81-C81)*24,""))</f>
        <v/>
      </c>
      <c r="F81" s="12" t="n"/>
      <c r="G81" s="16">
        <f>IF(F81="","",IFERROR(_xlfn.XLOOKUP(F81,Intervenants!$A$2:$A$101,Intervenants!$B$2:$B$101),"ID inconnu"))</f>
        <v/>
      </c>
      <c r="H81" s="16">
        <f>IF(F81="","",IFERROR(_xlfn.XLOOKUP(F81,Intervenants!$A$2:$A$101,Intervenants!$C$2:$C$101),"ID inconnu"))</f>
        <v/>
      </c>
      <c r="I81" s="12" t="n"/>
      <c r="J81" s="16">
        <f>IF(I81="","",IFERROR(_xlfn.XLOOKUP(I81,Chantiers_Zones!$B$2:$B$101,Chantiers_Zones!$C$2:$C$101),"CHANTIER INCONNU"))</f>
        <v/>
      </c>
      <c r="K81" s="12" t="n"/>
      <c r="L81" s="12" t="n"/>
      <c r="M81" s="8" t="n"/>
      <c r="N81" s="8" t="n"/>
      <c r="O81" s="17" t="n"/>
      <c r="P81" s="9">
        <f>IF(M81="Annulée","OK",IF(OR(B81="",C81="",D81="",F81=""),"",IF(COUNTIFS($F$7:$F$206,F81,$B$7:$B$206,B81,$C$7:$C$206,"&lt;"&amp;D81,$D$7:$D$206,"&gt;"&amp;C81,$M$7:$M$206,"&lt;&gt;Annulée")&gt;1,"DOUBLE RÉSERVATION","OK")))</f>
        <v/>
      </c>
      <c r="Q81" s="9">
        <f>IF(M81="Annulée","OK",IF(OR(B81="",C81="",D81="",F81=""),"",IF(SUMPRODUCT((Indisponibilités!$A$2:$A$101=F81)*((Indisponibilités!$B$2:$B$101+Indisponibilités!$C$2:$C$101)&lt;(B81+D81))*((Indisponibilités!$D$2:$D$101+Indisponibilités!$E$2:$E$101)&gt;(B81+C81)))&gt;0,"INDISPONIBLE","OK")))</f>
        <v/>
      </c>
      <c r="R81" s="9">
        <f>IF(OR(I81="",K81=""),"",IF(COUNTIFS(Chantiers_Zones!$B$2:$B$101,I81,Chantiers_Zones!$D$2:$D$101,K81,Chantiers_Zones!$E$2:$E$101,"Oui")&gt;0,"OK","ZONE INVALIDE"))</f>
        <v/>
      </c>
      <c r="S81" s="9">
        <f>IF(OR(B81="",I81=""),"",IFERROR(IF(AND(B81&gt;=_xlfn.XLOOKUP(I81,Chantiers_Zones!$B$2:$B$101,Chantiers_Zones!$F$2:$F$101),B81&lt;=_xlfn.XLOOKUP(I81,Chantiers_Zones!$B$2:$B$101,Chantiers_Zones!$G$2:$G$101)),"OK","HORS PÉRIODE"),"CHANTIER INCONNU"))</f>
        <v/>
      </c>
      <c r="T81" s="9">
        <f>IF(COUNTA(A81:D81,F81,I81,K81:O81)=0,"",IF(M81="Annulée","OK",IF(OR(A81="",B81="",C81="",D81="",F81="",I81="",K81="",L81="",M81=""),"INCOMPLET",IF(D81&lt;=C81,"HORAIRES INVALIDES",IF(OR(C81&lt;Paramètres!$B$3,D81&gt;Paramètres!$B$4),"HORS PLAGE",IF(P81&lt;&gt;"OK",P81,IF(Q81&lt;&gt;"OK",Q81,IF(R81&lt;&gt;"OK",R81,IF(S81&lt;&gt;"OK",S81,"OK")))))))))</f>
        <v/>
      </c>
    </row>
    <row r="82">
      <c r="A82" s="12" t="n"/>
      <c r="B82" s="24" t="n"/>
      <c r="C82" s="25" t="n"/>
      <c r="D82" s="25" t="n"/>
      <c r="E82" s="15">
        <f>IF(OR(C82="",D82=""),"",IF(D82&gt;C82,(D82-C82)*24,""))</f>
        <v/>
      </c>
      <c r="F82" s="12" t="n"/>
      <c r="G82" s="16">
        <f>IF(F82="","",IFERROR(_xlfn.XLOOKUP(F82,Intervenants!$A$2:$A$101,Intervenants!$B$2:$B$101),"ID inconnu"))</f>
        <v/>
      </c>
      <c r="H82" s="16">
        <f>IF(F82="","",IFERROR(_xlfn.XLOOKUP(F82,Intervenants!$A$2:$A$101,Intervenants!$C$2:$C$101),"ID inconnu"))</f>
        <v/>
      </c>
      <c r="I82" s="12" t="n"/>
      <c r="J82" s="16">
        <f>IF(I82="","",IFERROR(_xlfn.XLOOKUP(I82,Chantiers_Zones!$B$2:$B$101,Chantiers_Zones!$C$2:$C$101),"CHANTIER INCONNU"))</f>
        <v/>
      </c>
      <c r="K82" s="12" t="n"/>
      <c r="L82" s="12" t="n"/>
      <c r="M82" s="8" t="n"/>
      <c r="N82" s="8" t="n"/>
      <c r="O82" s="17" t="n"/>
      <c r="P82" s="9">
        <f>IF(M82="Annulée","OK",IF(OR(B82="",C82="",D82="",F82=""),"",IF(COUNTIFS($F$7:$F$206,F82,$B$7:$B$206,B82,$C$7:$C$206,"&lt;"&amp;D82,$D$7:$D$206,"&gt;"&amp;C82,$M$7:$M$206,"&lt;&gt;Annulée")&gt;1,"DOUBLE RÉSERVATION","OK")))</f>
        <v/>
      </c>
      <c r="Q82" s="9">
        <f>IF(M82="Annulée","OK",IF(OR(B82="",C82="",D82="",F82=""),"",IF(SUMPRODUCT((Indisponibilités!$A$2:$A$101=F82)*((Indisponibilités!$B$2:$B$101+Indisponibilités!$C$2:$C$101)&lt;(B82+D82))*((Indisponibilités!$D$2:$D$101+Indisponibilités!$E$2:$E$101)&gt;(B82+C82)))&gt;0,"INDISPONIBLE","OK")))</f>
        <v/>
      </c>
      <c r="R82" s="9">
        <f>IF(OR(I82="",K82=""),"",IF(COUNTIFS(Chantiers_Zones!$B$2:$B$101,I82,Chantiers_Zones!$D$2:$D$101,K82,Chantiers_Zones!$E$2:$E$101,"Oui")&gt;0,"OK","ZONE INVALIDE"))</f>
        <v/>
      </c>
      <c r="S82" s="9">
        <f>IF(OR(B82="",I82=""),"",IFERROR(IF(AND(B82&gt;=_xlfn.XLOOKUP(I82,Chantiers_Zones!$B$2:$B$101,Chantiers_Zones!$F$2:$F$101),B82&lt;=_xlfn.XLOOKUP(I82,Chantiers_Zones!$B$2:$B$101,Chantiers_Zones!$G$2:$G$101)),"OK","HORS PÉRIODE"),"CHANTIER INCONNU"))</f>
        <v/>
      </c>
      <c r="T82" s="9">
        <f>IF(COUNTA(A82:D82,F82,I82,K82:O82)=0,"",IF(M82="Annulée","OK",IF(OR(A82="",B82="",C82="",D82="",F82="",I82="",K82="",L82="",M82=""),"INCOMPLET",IF(D82&lt;=C82,"HORAIRES INVALIDES",IF(OR(C82&lt;Paramètres!$B$3,D82&gt;Paramètres!$B$4),"HORS PLAGE",IF(P82&lt;&gt;"OK",P82,IF(Q82&lt;&gt;"OK",Q82,IF(R82&lt;&gt;"OK",R82,IF(S82&lt;&gt;"OK",S82,"OK")))))))))</f>
        <v/>
      </c>
    </row>
    <row r="83">
      <c r="A83" s="12" t="n"/>
      <c r="B83" s="24" t="n"/>
      <c r="C83" s="25" t="n"/>
      <c r="D83" s="25" t="n"/>
      <c r="E83" s="15">
        <f>IF(OR(C83="",D83=""),"",IF(D83&gt;C83,(D83-C83)*24,""))</f>
        <v/>
      </c>
      <c r="F83" s="12" t="n"/>
      <c r="G83" s="16">
        <f>IF(F83="","",IFERROR(_xlfn.XLOOKUP(F83,Intervenants!$A$2:$A$101,Intervenants!$B$2:$B$101),"ID inconnu"))</f>
        <v/>
      </c>
      <c r="H83" s="16">
        <f>IF(F83="","",IFERROR(_xlfn.XLOOKUP(F83,Intervenants!$A$2:$A$101,Intervenants!$C$2:$C$101),"ID inconnu"))</f>
        <v/>
      </c>
      <c r="I83" s="12" t="n"/>
      <c r="J83" s="16">
        <f>IF(I83="","",IFERROR(_xlfn.XLOOKUP(I83,Chantiers_Zones!$B$2:$B$101,Chantiers_Zones!$C$2:$C$101),"CHANTIER INCONNU"))</f>
        <v/>
      </c>
      <c r="K83" s="12" t="n"/>
      <c r="L83" s="12" t="n"/>
      <c r="M83" s="8" t="n"/>
      <c r="N83" s="8" t="n"/>
      <c r="O83" s="17" t="n"/>
      <c r="P83" s="9">
        <f>IF(M83="Annulée","OK",IF(OR(B83="",C83="",D83="",F83=""),"",IF(COUNTIFS($F$7:$F$206,F83,$B$7:$B$206,B83,$C$7:$C$206,"&lt;"&amp;D83,$D$7:$D$206,"&gt;"&amp;C83,$M$7:$M$206,"&lt;&gt;Annulée")&gt;1,"DOUBLE RÉSERVATION","OK")))</f>
        <v/>
      </c>
      <c r="Q83" s="9">
        <f>IF(M83="Annulée","OK",IF(OR(B83="",C83="",D83="",F83=""),"",IF(SUMPRODUCT((Indisponibilités!$A$2:$A$101=F83)*((Indisponibilités!$B$2:$B$101+Indisponibilités!$C$2:$C$101)&lt;(B83+D83))*((Indisponibilités!$D$2:$D$101+Indisponibilités!$E$2:$E$101)&gt;(B83+C83)))&gt;0,"INDISPONIBLE","OK")))</f>
        <v/>
      </c>
      <c r="R83" s="9">
        <f>IF(OR(I83="",K83=""),"",IF(COUNTIFS(Chantiers_Zones!$B$2:$B$101,I83,Chantiers_Zones!$D$2:$D$101,K83,Chantiers_Zones!$E$2:$E$101,"Oui")&gt;0,"OK","ZONE INVALIDE"))</f>
        <v/>
      </c>
      <c r="S83" s="9">
        <f>IF(OR(B83="",I83=""),"",IFERROR(IF(AND(B83&gt;=_xlfn.XLOOKUP(I83,Chantiers_Zones!$B$2:$B$101,Chantiers_Zones!$F$2:$F$101),B83&lt;=_xlfn.XLOOKUP(I83,Chantiers_Zones!$B$2:$B$101,Chantiers_Zones!$G$2:$G$101)),"OK","HORS PÉRIODE"),"CHANTIER INCONNU"))</f>
        <v/>
      </c>
      <c r="T83" s="9">
        <f>IF(COUNTA(A83:D83,F83,I83,K83:O83)=0,"",IF(M83="Annulée","OK",IF(OR(A83="",B83="",C83="",D83="",F83="",I83="",K83="",L83="",M83=""),"INCOMPLET",IF(D83&lt;=C83,"HORAIRES INVALIDES",IF(OR(C83&lt;Paramètres!$B$3,D83&gt;Paramètres!$B$4),"HORS PLAGE",IF(P83&lt;&gt;"OK",P83,IF(Q83&lt;&gt;"OK",Q83,IF(R83&lt;&gt;"OK",R83,IF(S83&lt;&gt;"OK",S83,"OK")))))))))</f>
        <v/>
      </c>
    </row>
    <row r="84">
      <c r="A84" s="12" t="n"/>
      <c r="B84" s="24" t="n"/>
      <c r="C84" s="25" t="n"/>
      <c r="D84" s="25" t="n"/>
      <c r="E84" s="15">
        <f>IF(OR(C84="",D84=""),"",IF(D84&gt;C84,(D84-C84)*24,""))</f>
        <v/>
      </c>
      <c r="F84" s="12" t="n"/>
      <c r="G84" s="16">
        <f>IF(F84="","",IFERROR(_xlfn.XLOOKUP(F84,Intervenants!$A$2:$A$101,Intervenants!$B$2:$B$101),"ID inconnu"))</f>
        <v/>
      </c>
      <c r="H84" s="16">
        <f>IF(F84="","",IFERROR(_xlfn.XLOOKUP(F84,Intervenants!$A$2:$A$101,Intervenants!$C$2:$C$101),"ID inconnu"))</f>
        <v/>
      </c>
      <c r="I84" s="12" t="n"/>
      <c r="J84" s="16">
        <f>IF(I84="","",IFERROR(_xlfn.XLOOKUP(I84,Chantiers_Zones!$B$2:$B$101,Chantiers_Zones!$C$2:$C$101),"CHANTIER INCONNU"))</f>
        <v/>
      </c>
      <c r="K84" s="12" t="n"/>
      <c r="L84" s="12" t="n"/>
      <c r="M84" s="8" t="n"/>
      <c r="N84" s="8" t="n"/>
      <c r="O84" s="17" t="n"/>
      <c r="P84" s="9">
        <f>IF(M84="Annulée","OK",IF(OR(B84="",C84="",D84="",F84=""),"",IF(COUNTIFS($F$7:$F$206,F84,$B$7:$B$206,B84,$C$7:$C$206,"&lt;"&amp;D84,$D$7:$D$206,"&gt;"&amp;C84,$M$7:$M$206,"&lt;&gt;Annulée")&gt;1,"DOUBLE RÉSERVATION","OK")))</f>
        <v/>
      </c>
      <c r="Q84" s="9">
        <f>IF(M84="Annulée","OK",IF(OR(B84="",C84="",D84="",F84=""),"",IF(SUMPRODUCT((Indisponibilités!$A$2:$A$101=F84)*((Indisponibilités!$B$2:$B$101+Indisponibilités!$C$2:$C$101)&lt;(B84+D84))*((Indisponibilités!$D$2:$D$101+Indisponibilités!$E$2:$E$101)&gt;(B84+C84)))&gt;0,"INDISPONIBLE","OK")))</f>
        <v/>
      </c>
      <c r="R84" s="9">
        <f>IF(OR(I84="",K84=""),"",IF(COUNTIFS(Chantiers_Zones!$B$2:$B$101,I84,Chantiers_Zones!$D$2:$D$101,K84,Chantiers_Zones!$E$2:$E$101,"Oui")&gt;0,"OK","ZONE INVALIDE"))</f>
        <v/>
      </c>
      <c r="S84" s="9">
        <f>IF(OR(B84="",I84=""),"",IFERROR(IF(AND(B84&gt;=_xlfn.XLOOKUP(I84,Chantiers_Zones!$B$2:$B$101,Chantiers_Zones!$F$2:$F$101),B84&lt;=_xlfn.XLOOKUP(I84,Chantiers_Zones!$B$2:$B$101,Chantiers_Zones!$G$2:$G$101)),"OK","HORS PÉRIODE"),"CHANTIER INCONNU"))</f>
        <v/>
      </c>
      <c r="T84" s="9">
        <f>IF(COUNTA(A84:D84,F84,I84,K84:O84)=0,"",IF(M84="Annulée","OK",IF(OR(A84="",B84="",C84="",D84="",F84="",I84="",K84="",L84="",M84=""),"INCOMPLET",IF(D84&lt;=C84,"HORAIRES INVALIDES",IF(OR(C84&lt;Paramètres!$B$3,D84&gt;Paramètres!$B$4),"HORS PLAGE",IF(P84&lt;&gt;"OK",P84,IF(Q84&lt;&gt;"OK",Q84,IF(R84&lt;&gt;"OK",R84,IF(S84&lt;&gt;"OK",S84,"OK")))))))))</f>
        <v/>
      </c>
    </row>
    <row r="85">
      <c r="A85" s="12" t="n"/>
      <c r="B85" s="24" t="n"/>
      <c r="C85" s="25" t="n"/>
      <c r="D85" s="25" t="n"/>
      <c r="E85" s="15">
        <f>IF(OR(C85="",D85=""),"",IF(D85&gt;C85,(D85-C85)*24,""))</f>
        <v/>
      </c>
      <c r="F85" s="12" t="n"/>
      <c r="G85" s="16">
        <f>IF(F85="","",IFERROR(_xlfn.XLOOKUP(F85,Intervenants!$A$2:$A$101,Intervenants!$B$2:$B$101),"ID inconnu"))</f>
        <v/>
      </c>
      <c r="H85" s="16">
        <f>IF(F85="","",IFERROR(_xlfn.XLOOKUP(F85,Intervenants!$A$2:$A$101,Intervenants!$C$2:$C$101),"ID inconnu"))</f>
        <v/>
      </c>
      <c r="I85" s="12" t="n"/>
      <c r="J85" s="16">
        <f>IF(I85="","",IFERROR(_xlfn.XLOOKUP(I85,Chantiers_Zones!$B$2:$B$101,Chantiers_Zones!$C$2:$C$101),"CHANTIER INCONNU"))</f>
        <v/>
      </c>
      <c r="K85" s="12" t="n"/>
      <c r="L85" s="12" t="n"/>
      <c r="M85" s="8" t="n"/>
      <c r="N85" s="8" t="n"/>
      <c r="O85" s="17" t="n"/>
      <c r="P85" s="9">
        <f>IF(M85="Annulée","OK",IF(OR(B85="",C85="",D85="",F85=""),"",IF(COUNTIFS($F$7:$F$206,F85,$B$7:$B$206,B85,$C$7:$C$206,"&lt;"&amp;D85,$D$7:$D$206,"&gt;"&amp;C85,$M$7:$M$206,"&lt;&gt;Annulée")&gt;1,"DOUBLE RÉSERVATION","OK")))</f>
        <v/>
      </c>
      <c r="Q85" s="9">
        <f>IF(M85="Annulée","OK",IF(OR(B85="",C85="",D85="",F85=""),"",IF(SUMPRODUCT((Indisponibilités!$A$2:$A$101=F85)*((Indisponibilités!$B$2:$B$101+Indisponibilités!$C$2:$C$101)&lt;(B85+D85))*((Indisponibilités!$D$2:$D$101+Indisponibilités!$E$2:$E$101)&gt;(B85+C85)))&gt;0,"INDISPONIBLE","OK")))</f>
        <v/>
      </c>
      <c r="R85" s="9">
        <f>IF(OR(I85="",K85=""),"",IF(COUNTIFS(Chantiers_Zones!$B$2:$B$101,I85,Chantiers_Zones!$D$2:$D$101,K85,Chantiers_Zones!$E$2:$E$101,"Oui")&gt;0,"OK","ZONE INVALIDE"))</f>
        <v/>
      </c>
      <c r="S85" s="9">
        <f>IF(OR(B85="",I85=""),"",IFERROR(IF(AND(B85&gt;=_xlfn.XLOOKUP(I85,Chantiers_Zones!$B$2:$B$101,Chantiers_Zones!$F$2:$F$101),B85&lt;=_xlfn.XLOOKUP(I85,Chantiers_Zones!$B$2:$B$101,Chantiers_Zones!$G$2:$G$101)),"OK","HORS PÉRIODE"),"CHANTIER INCONNU"))</f>
        <v/>
      </c>
      <c r="T85" s="9">
        <f>IF(COUNTA(A85:D85,F85,I85,K85:O85)=0,"",IF(M85="Annulée","OK",IF(OR(A85="",B85="",C85="",D85="",F85="",I85="",K85="",L85="",M85=""),"INCOMPLET",IF(D85&lt;=C85,"HORAIRES INVALIDES",IF(OR(C85&lt;Paramètres!$B$3,D85&gt;Paramètres!$B$4),"HORS PLAGE",IF(P85&lt;&gt;"OK",P85,IF(Q85&lt;&gt;"OK",Q85,IF(R85&lt;&gt;"OK",R85,IF(S85&lt;&gt;"OK",S85,"OK")))))))))</f>
        <v/>
      </c>
    </row>
    <row r="86">
      <c r="A86" s="12" t="n"/>
      <c r="B86" s="24" t="n"/>
      <c r="C86" s="25" t="n"/>
      <c r="D86" s="25" t="n"/>
      <c r="E86" s="15">
        <f>IF(OR(C86="",D86=""),"",IF(D86&gt;C86,(D86-C86)*24,""))</f>
        <v/>
      </c>
      <c r="F86" s="12" t="n"/>
      <c r="G86" s="16">
        <f>IF(F86="","",IFERROR(_xlfn.XLOOKUP(F86,Intervenants!$A$2:$A$101,Intervenants!$B$2:$B$101),"ID inconnu"))</f>
        <v/>
      </c>
      <c r="H86" s="16">
        <f>IF(F86="","",IFERROR(_xlfn.XLOOKUP(F86,Intervenants!$A$2:$A$101,Intervenants!$C$2:$C$101),"ID inconnu"))</f>
        <v/>
      </c>
      <c r="I86" s="12" t="n"/>
      <c r="J86" s="16">
        <f>IF(I86="","",IFERROR(_xlfn.XLOOKUP(I86,Chantiers_Zones!$B$2:$B$101,Chantiers_Zones!$C$2:$C$101),"CHANTIER INCONNU"))</f>
        <v/>
      </c>
      <c r="K86" s="12" t="n"/>
      <c r="L86" s="12" t="n"/>
      <c r="M86" s="8" t="n"/>
      <c r="N86" s="8" t="n"/>
      <c r="O86" s="17" t="n"/>
      <c r="P86" s="9">
        <f>IF(M86="Annulée","OK",IF(OR(B86="",C86="",D86="",F86=""),"",IF(COUNTIFS($F$7:$F$206,F86,$B$7:$B$206,B86,$C$7:$C$206,"&lt;"&amp;D86,$D$7:$D$206,"&gt;"&amp;C86,$M$7:$M$206,"&lt;&gt;Annulée")&gt;1,"DOUBLE RÉSERVATION","OK")))</f>
        <v/>
      </c>
      <c r="Q86" s="9">
        <f>IF(M86="Annulée","OK",IF(OR(B86="",C86="",D86="",F86=""),"",IF(SUMPRODUCT((Indisponibilités!$A$2:$A$101=F86)*((Indisponibilités!$B$2:$B$101+Indisponibilités!$C$2:$C$101)&lt;(B86+D86))*((Indisponibilités!$D$2:$D$101+Indisponibilités!$E$2:$E$101)&gt;(B86+C86)))&gt;0,"INDISPONIBLE","OK")))</f>
        <v/>
      </c>
      <c r="R86" s="9">
        <f>IF(OR(I86="",K86=""),"",IF(COUNTIFS(Chantiers_Zones!$B$2:$B$101,I86,Chantiers_Zones!$D$2:$D$101,K86,Chantiers_Zones!$E$2:$E$101,"Oui")&gt;0,"OK","ZONE INVALIDE"))</f>
        <v/>
      </c>
      <c r="S86" s="9">
        <f>IF(OR(B86="",I86=""),"",IFERROR(IF(AND(B86&gt;=_xlfn.XLOOKUP(I86,Chantiers_Zones!$B$2:$B$101,Chantiers_Zones!$F$2:$F$101),B86&lt;=_xlfn.XLOOKUP(I86,Chantiers_Zones!$B$2:$B$101,Chantiers_Zones!$G$2:$G$101)),"OK","HORS PÉRIODE"),"CHANTIER INCONNU"))</f>
        <v/>
      </c>
      <c r="T86" s="9">
        <f>IF(COUNTA(A86:D86,F86,I86,K86:O86)=0,"",IF(M86="Annulée","OK",IF(OR(A86="",B86="",C86="",D86="",F86="",I86="",K86="",L86="",M86=""),"INCOMPLET",IF(D86&lt;=C86,"HORAIRES INVALIDES",IF(OR(C86&lt;Paramètres!$B$3,D86&gt;Paramètres!$B$4),"HORS PLAGE",IF(P86&lt;&gt;"OK",P86,IF(Q86&lt;&gt;"OK",Q86,IF(R86&lt;&gt;"OK",R86,IF(S86&lt;&gt;"OK",S86,"OK")))))))))</f>
        <v/>
      </c>
    </row>
    <row r="87">
      <c r="A87" s="12" t="n"/>
      <c r="B87" s="24" t="n"/>
      <c r="C87" s="25" t="n"/>
      <c r="D87" s="25" t="n"/>
      <c r="E87" s="15">
        <f>IF(OR(C87="",D87=""),"",IF(D87&gt;C87,(D87-C87)*24,""))</f>
        <v/>
      </c>
      <c r="F87" s="12" t="n"/>
      <c r="G87" s="16">
        <f>IF(F87="","",IFERROR(_xlfn.XLOOKUP(F87,Intervenants!$A$2:$A$101,Intervenants!$B$2:$B$101),"ID inconnu"))</f>
        <v/>
      </c>
      <c r="H87" s="16">
        <f>IF(F87="","",IFERROR(_xlfn.XLOOKUP(F87,Intervenants!$A$2:$A$101,Intervenants!$C$2:$C$101),"ID inconnu"))</f>
        <v/>
      </c>
      <c r="I87" s="12" t="n"/>
      <c r="J87" s="16">
        <f>IF(I87="","",IFERROR(_xlfn.XLOOKUP(I87,Chantiers_Zones!$B$2:$B$101,Chantiers_Zones!$C$2:$C$101),"CHANTIER INCONNU"))</f>
        <v/>
      </c>
      <c r="K87" s="12" t="n"/>
      <c r="L87" s="12" t="n"/>
      <c r="M87" s="8" t="n"/>
      <c r="N87" s="8" t="n"/>
      <c r="O87" s="17" t="n"/>
      <c r="P87" s="9">
        <f>IF(M87="Annulée","OK",IF(OR(B87="",C87="",D87="",F87=""),"",IF(COUNTIFS($F$7:$F$206,F87,$B$7:$B$206,B87,$C$7:$C$206,"&lt;"&amp;D87,$D$7:$D$206,"&gt;"&amp;C87,$M$7:$M$206,"&lt;&gt;Annulée")&gt;1,"DOUBLE RÉSERVATION","OK")))</f>
        <v/>
      </c>
      <c r="Q87" s="9">
        <f>IF(M87="Annulée","OK",IF(OR(B87="",C87="",D87="",F87=""),"",IF(SUMPRODUCT((Indisponibilités!$A$2:$A$101=F87)*((Indisponibilités!$B$2:$B$101+Indisponibilités!$C$2:$C$101)&lt;(B87+D87))*((Indisponibilités!$D$2:$D$101+Indisponibilités!$E$2:$E$101)&gt;(B87+C87)))&gt;0,"INDISPONIBLE","OK")))</f>
        <v/>
      </c>
      <c r="R87" s="9">
        <f>IF(OR(I87="",K87=""),"",IF(COUNTIFS(Chantiers_Zones!$B$2:$B$101,I87,Chantiers_Zones!$D$2:$D$101,K87,Chantiers_Zones!$E$2:$E$101,"Oui")&gt;0,"OK","ZONE INVALIDE"))</f>
        <v/>
      </c>
      <c r="S87" s="9">
        <f>IF(OR(B87="",I87=""),"",IFERROR(IF(AND(B87&gt;=_xlfn.XLOOKUP(I87,Chantiers_Zones!$B$2:$B$101,Chantiers_Zones!$F$2:$F$101),B87&lt;=_xlfn.XLOOKUP(I87,Chantiers_Zones!$B$2:$B$101,Chantiers_Zones!$G$2:$G$101)),"OK","HORS PÉRIODE"),"CHANTIER INCONNU"))</f>
        <v/>
      </c>
      <c r="T87" s="9">
        <f>IF(COUNTA(A87:D87,F87,I87,K87:O87)=0,"",IF(M87="Annulée","OK",IF(OR(A87="",B87="",C87="",D87="",F87="",I87="",K87="",L87="",M87=""),"INCOMPLET",IF(D87&lt;=C87,"HORAIRES INVALIDES",IF(OR(C87&lt;Paramètres!$B$3,D87&gt;Paramètres!$B$4),"HORS PLAGE",IF(P87&lt;&gt;"OK",P87,IF(Q87&lt;&gt;"OK",Q87,IF(R87&lt;&gt;"OK",R87,IF(S87&lt;&gt;"OK",S87,"OK")))))))))</f>
        <v/>
      </c>
    </row>
    <row r="88">
      <c r="A88" s="12" t="n"/>
      <c r="B88" s="24" t="n"/>
      <c r="C88" s="25" t="n"/>
      <c r="D88" s="25" t="n"/>
      <c r="E88" s="15">
        <f>IF(OR(C88="",D88=""),"",IF(D88&gt;C88,(D88-C88)*24,""))</f>
        <v/>
      </c>
      <c r="F88" s="12" t="n"/>
      <c r="G88" s="16">
        <f>IF(F88="","",IFERROR(_xlfn.XLOOKUP(F88,Intervenants!$A$2:$A$101,Intervenants!$B$2:$B$101),"ID inconnu"))</f>
        <v/>
      </c>
      <c r="H88" s="16">
        <f>IF(F88="","",IFERROR(_xlfn.XLOOKUP(F88,Intervenants!$A$2:$A$101,Intervenants!$C$2:$C$101),"ID inconnu"))</f>
        <v/>
      </c>
      <c r="I88" s="12" t="n"/>
      <c r="J88" s="16">
        <f>IF(I88="","",IFERROR(_xlfn.XLOOKUP(I88,Chantiers_Zones!$B$2:$B$101,Chantiers_Zones!$C$2:$C$101),"CHANTIER INCONNU"))</f>
        <v/>
      </c>
      <c r="K88" s="12" t="n"/>
      <c r="L88" s="12" t="n"/>
      <c r="M88" s="8" t="n"/>
      <c r="N88" s="8" t="n"/>
      <c r="O88" s="17" t="n"/>
      <c r="P88" s="9">
        <f>IF(M88="Annulée","OK",IF(OR(B88="",C88="",D88="",F88=""),"",IF(COUNTIFS($F$7:$F$206,F88,$B$7:$B$206,B88,$C$7:$C$206,"&lt;"&amp;D88,$D$7:$D$206,"&gt;"&amp;C88,$M$7:$M$206,"&lt;&gt;Annulée")&gt;1,"DOUBLE RÉSERVATION","OK")))</f>
        <v/>
      </c>
      <c r="Q88" s="9">
        <f>IF(M88="Annulée","OK",IF(OR(B88="",C88="",D88="",F88=""),"",IF(SUMPRODUCT((Indisponibilités!$A$2:$A$101=F88)*((Indisponibilités!$B$2:$B$101+Indisponibilités!$C$2:$C$101)&lt;(B88+D88))*((Indisponibilités!$D$2:$D$101+Indisponibilités!$E$2:$E$101)&gt;(B88+C88)))&gt;0,"INDISPONIBLE","OK")))</f>
        <v/>
      </c>
      <c r="R88" s="9">
        <f>IF(OR(I88="",K88=""),"",IF(COUNTIFS(Chantiers_Zones!$B$2:$B$101,I88,Chantiers_Zones!$D$2:$D$101,K88,Chantiers_Zones!$E$2:$E$101,"Oui")&gt;0,"OK","ZONE INVALIDE"))</f>
        <v/>
      </c>
      <c r="S88" s="9">
        <f>IF(OR(B88="",I88=""),"",IFERROR(IF(AND(B88&gt;=_xlfn.XLOOKUP(I88,Chantiers_Zones!$B$2:$B$101,Chantiers_Zones!$F$2:$F$101),B88&lt;=_xlfn.XLOOKUP(I88,Chantiers_Zones!$B$2:$B$101,Chantiers_Zones!$G$2:$G$101)),"OK","HORS PÉRIODE"),"CHANTIER INCONNU"))</f>
        <v/>
      </c>
      <c r="T88" s="9">
        <f>IF(COUNTA(A88:D88,F88,I88,K88:O88)=0,"",IF(M88="Annulée","OK",IF(OR(A88="",B88="",C88="",D88="",F88="",I88="",K88="",L88="",M88=""),"INCOMPLET",IF(D88&lt;=C88,"HORAIRES INVALIDES",IF(OR(C88&lt;Paramètres!$B$3,D88&gt;Paramètres!$B$4),"HORS PLAGE",IF(P88&lt;&gt;"OK",P88,IF(Q88&lt;&gt;"OK",Q88,IF(R88&lt;&gt;"OK",R88,IF(S88&lt;&gt;"OK",S88,"OK")))))))))</f>
        <v/>
      </c>
    </row>
    <row r="89">
      <c r="A89" s="12" t="n"/>
      <c r="B89" s="24" t="n"/>
      <c r="C89" s="25" t="n"/>
      <c r="D89" s="25" t="n"/>
      <c r="E89" s="15">
        <f>IF(OR(C89="",D89=""),"",IF(D89&gt;C89,(D89-C89)*24,""))</f>
        <v/>
      </c>
      <c r="F89" s="12" t="n"/>
      <c r="G89" s="16">
        <f>IF(F89="","",IFERROR(_xlfn.XLOOKUP(F89,Intervenants!$A$2:$A$101,Intervenants!$B$2:$B$101),"ID inconnu"))</f>
        <v/>
      </c>
      <c r="H89" s="16">
        <f>IF(F89="","",IFERROR(_xlfn.XLOOKUP(F89,Intervenants!$A$2:$A$101,Intervenants!$C$2:$C$101),"ID inconnu"))</f>
        <v/>
      </c>
      <c r="I89" s="12" t="n"/>
      <c r="J89" s="16">
        <f>IF(I89="","",IFERROR(_xlfn.XLOOKUP(I89,Chantiers_Zones!$B$2:$B$101,Chantiers_Zones!$C$2:$C$101),"CHANTIER INCONNU"))</f>
        <v/>
      </c>
      <c r="K89" s="12" t="n"/>
      <c r="L89" s="12" t="n"/>
      <c r="M89" s="8" t="n"/>
      <c r="N89" s="8" t="n"/>
      <c r="O89" s="17" t="n"/>
      <c r="P89" s="9">
        <f>IF(M89="Annulée","OK",IF(OR(B89="",C89="",D89="",F89=""),"",IF(COUNTIFS($F$7:$F$206,F89,$B$7:$B$206,B89,$C$7:$C$206,"&lt;"&amp;D89,$D$7:$D$206,"&gt;"&amp;C89,$M$7:$M$206,"&lt;&gt;Annulée")&gt;1,"DOUBLE RÉSERVATION","OK")))</f>
        <v/>
      </c>
      <c r="Q89" s="9">
        <f>IF(M89="Annulée","OK",IF(OR(B89="",C89="",D89="",F89=""),"",IF(SUMPRODUCT((Indisponibilités!$A$2:$A$101=F89)*((Indisponibilités!$B$2:$B$101+Indisponibilités!$C$2:$C$101)&lt;(B89+D89))*((Indisponibilités!$D$2:$D$101+Indisponibilités!$E$2:$E$101)&gt;(B89+C89)))&gt;0,"INDISPONIBLE","OK")))</f>
        <v/>
      </c>
      <c r="R89" s="9">
        <f>IF(OR(I89="",K89=""),"",IF(COUNTIFS(Chantiers_Zones!$B$2:$B$101,I89,Chantiers_Zones!$D$2:$D$101,K89,Chantiers_Zones!$E$2:$E$101,"Oui")&gt;0,"OK","ZONE INVALIDE"))</f>
        <v/>
      </c>
      <c r="S89" s="9">
        <f>IF(OR(B89="",I89=""),"",IFERROR(IF(AND(B89&gt;=_xlfn.XLOOKUP(I89,Chantiers_Zones!$B$2:$B$101,Chantiers_Zones!$F$2:$F$101),B89&lt;=_xlfn.XLOOKUP(I89,Chantiers_Zones!$B$2:$B$101,Chantiers_Zones!$G$2:$G$101)),"OK","HORS PÉRIODE"),"CHANTIER INCONNU"))</f>
        <v/>
      </c>
      <c r="T89" s="9">
        <f>IF(COUNTA(A89:D89,F89,I89,K89:O89)=0,"",IF(M89="Annulée","OK",IF(OR(A89="",B89="",C89="",D89="",F89="",I89="",K89="",L89="",M89=""),"INCOMPLET",IF(D89&lt;=C89,"HORAIRES INVALIDES",IF(OR(C89&lt;Paramètres!$B$3,D89&gt;Paramètres!$B$4),"HORS PLAGE",IF(P89&lt;&gt;"OK",P89,IF(Q89&lt;&gt;"OK",Q89,IF(R89&lt;&gt;"OK",R89,IF(S89&lt;&gt;"OK",S89,"OK")))))))))</f>
        <v/>
      </c>
    </row>
    <row r="90">
      <c r="A90" s="12" t="n"/>
      <c r="B90" s="24" t="n"/>
      <c r="C90" s="25" t="n"/>
      <c r="D90" s="25" t="n"/>
      <c r="E90" s="15">
        <f>IF(OR(C90="",D90=""),"",IF(D90&gt;C90,(D90-C90)*24,""))</f>
        <v/>
      </c>
      <c r="F90" s="12" t="n"/>
      <c r="G90" s="16">
        <f>IF(F90="","",IFERROR(_xlfn.XLOOKUP(F90,Intervenants!$A$2:$A$101,Intervenants!$B$2:$B$101),"ID inconnu"))</f>
        <v/>
      </c>
      <c r="H90" s="16">
        <f>IF(F90="","",IFERROR(_xlfn.XLOOKUP(F90,Intervenants!$A$2:$A$101,Intervenants!$C$2:$C$101),"ID inconnu"))</f>
        <v/>
      </c>
      <c r="I90" s="12" t="n"/>
      <c r="J90" s="16">
        <f>IF(I90="","",IFERROR(_xlfn.XLOOKUP(I90,Chantiers_Zones!$B$2:$B$101,Chantiers_Zones!$C$2:$C$101),"CHANTIER INCONNU"))</f>
        <v/>
      </c>
      <c r="K90" s="12" t="n"/>
      <c r="L90" s="12" t="n"/>
      <c r="M90" s="8" t="n"/>
      <c r="N90" s="8" t="n"/>
      <c r="O90" s="17" t="n"/>
      <c r="P90" s="9">
        <f>IF(M90="Annulée","OK",IF(OR(B90="",C90="",D90="",F90=""),"",IF(COUNTIFS($F$7:$F$206,F90,$B$7:$B$206,B90,$C$7:$C$206,"&lt;"&amp;D90,$D$7:$D$206,"&gt;"&amp;C90,$M$7:$M$206,"&lt;&gt;Annulée")&gt;1,"DOUBLE RÉSERVATION","OK")))</f>
        <v/>
      </c>
      <c r="Q90" s="9">
        <f>IF(M90="Annulée","OK",IF(OR(B90="",C90="",D90="",F90=""),"",IF(SUMPRODUCT((Indisponibilités!$A$2:$A$101=F90)*((Indisponibilités!$B$2:$B$101+Indisponibilités!$C$2:$C$101)&lt;(B90+D90))*((Indisponibilités!$D$2:$D$101+Indisponibilités!$E$2:$E$101)&gt;(B90+C90)))&gt;0,"INDISPONIBLE","OK")))</f>
        <v/>
      </c>
      <c r="R90" s="9">
        <f>IF(OR(I90="",K90=""),"",IF(COUNTIFS(Chantiers_Zones!$B$2:$B$101,I90,Chantiers_Zones!$D$2:$D$101,K90,Chantiers_Zones!$E$2:$E$101,"Oui")&gt;0,"OK","ZONE INVALIDE"))</f>
        <v/>
      </c>
      <c r="S90" s="9">
        <f>IF(OR(B90="",I90=""),"",IFERROR(IF(AND(B90&gt;=_xlfn.XLOOKUP(I90,Chantiers_Zones!$B$2:$B$101,Chantiers_Zones!$F$2:$F$101),B90&lt;=_xlfn.XLOOKUP(I90,Chantiers_Zones!$B$2:$B$101,Chantiers_Zones!$G$2:$G$101)),"OK","HORS PÉRIODE"),"CHANTIER INCONNU"))</f>
        <v/>
      </c>
      <c r="T90" s="9">
        <f>IF(COUNTA(A90:D90,F90,I90,K90:O90)=0,"",IF(M90="Annulée","OK",IF(OR(A90="",B90="",C90="",D90="",F90="",I90="",K90="",L90="",M90=""),"INCOMPLET",IF(D90&lt;=C90,"HORAIRES INVALIDES",IF(OR(C90&lt;Paramètres!$B$3,D90&gt;Paramètres!$B$4),"HORS PLAGE",IF(P90&lt;&gt;"OK",P90,IF(Q90&lt;&gt;"OK",Q90,IF(R90&lt;&gt;"OK",R90,IF(S90&lt;&gt;"OK",S90,"OK")))))))))</f>
        <v/>
      </c>
    </row>
    <row r="91">
      <c r="A91" s="12" t="n"/>
      <c r="B91" s="24" t="n"/>
      <c r="C91" s="25" t="n"/>
      <c r="D91" s="25" t="n"/>
      <c r="E91" s="15">
        <f>IF(OR(C91="",D91=""),"",IF(D91&gt;C91,(D91-C91)*24,""))</f>
        <v/>
      </c>
      <c r="F91" s="12" t="n"/>
      <c r="G91" s="16">
        <f>IF(F91="","",IFERROR(_xlfn.XLOOKUP(F91,Intervenants!$A$2:$A$101,Intervenants!$B$2:$B$101),"ID inconnu"))</f>
        <v/>
      </c>
      <c r="H91" s="16">
        <f>IF(F91="","",IFERROR(_xlfn.XLOOKUP(F91,Intervenants!$A$2:$A$101,Intervenants!$C$2:$C$101),"ID inconnu"))</f>
        <v/>
      </c>
      <c r="I91" s="12" t="n"/>
      <c r="J91" s="16">
        <f>IF(I91="","",IFERROR(_xlfn.XLOOKUP(I91,Chantiers_Zones!$B$2:$B$101,Chantiers_Zones!$C$2:$C$101),"CHANTIER INCONNU"))</f>
        <v/>
      </c>
      <c r="K91" s="12" t="n"/>
      <c r="L91" s="12" t="n"/>
      <c r="M91" s="8" t="n"/>
      <c r="N91" s="8" t="n"/>
      <c r="O91" s="17" t="n"/>
      <c r="P91" s="9">
        <f>IF(M91="Annulée","OK",IF(OR(B91="",C91="",D91="",F91=""),"",IF(COUNTIFS($F$7:$F$206,F91,$B$7:$B$206,B91,$C$7:$C$206,"&lt;"&amp;D91,$D$7:$D$206,"&gt;"&amp;C91,$M$7:$M$206,"&lt;&gt;Annulée")&gt;1,"DOUBLE RÉSERVATION","OK")))</f>
        <v/>
      </c>
      <c r="Q91" s="9">
        <f>IF(M91="Annulée","OK",IF(OR(B91="",C91="",D91="",F91=""),"",IF(SUMPRODUCT((Indisponibilités!$A$2:$A$101=F91)*((Indisponibilités!$B$2:$B$101+Indisponibilités!$C$2:$C$101)&lt;(B91+D91))*((Indisponibilités!$D$2:$D$101+Indisponibilités!$E$2:$E$101)&gt;(B91+C91)))&gt;0,"INDISPONIBLE","OK")))</f>
        <v/>
      </c>
      <c r="R91" s="9">
        <f>IF(OR(I91="",K91=""),"",IF(COUNTIFS(Chantiers_Zones!$B$2:$B$101,I91,Chantiers_Zones!$D$2:$D$101,K91,Chantiers_Zones!$E$2:$E$101,"Oui")&gt;0,"OK","ZONE INVALIDE"))</f>
        <v/>
      </c>
      <c r="S91" s="9">
        <f>IF(OR(B91="",I91=""),"",IFERROR(IF(AND(B91&gt;=_xlfn.XLOOKUP(I91,Chantiers_Zones!$B$2:$B$101,Chantiers_Zones!$F$2:$F$101),B91&lt;=_xlfn.XLOOKUP(I91,Chantiers_Zones!$B$2:$B$101,Chantiers_Zones!$G$2:$G$101)),"OK","HORS PÉRIODE"),"CHANTIER INCONNU"))</f>
        <v/>
      </c>
      <c r="T91" s="9">
        <f>IF(COUNTA(A91:D91,F91,I91,K91:O91)=0,"",IF(M91="Annulée","OK",IF(OR(A91="",B91="",C91="",D91="",F91="",I91="",K91="",L91="",M91=""),"INCOMPLET",IF(D91&lt;=C91,"HORAIRES INVALIDES",IF(OR(C91&lt;Paramètres!$B$3,D91&gt;Paramètres!$B$4),"HORS PLAGE",IF(P91&lt;&gt;"OK",P91,IF(Q91&lt;&gt;"OK",Q91,IF(R91&lt;&gt;"OK",R91,IF(S91&lt;&gt;"OK",S91,"OK")))))))))</f>
        <v/>
      </c>
    </row>
    <row r="92">
      <c r="A92" s="12" t="n"/>
      <c r="B92" s="24" t="n"/>
      <c r="C92" s="25" t="n"/>
      <c r="D92" s="25" t="n"/>
      <c r="E92" s="15">
        <f>IF(OR(C92="",D92=""),"",IF(D92&gt;C92,(D92-C92)*24,""))</f>
        <v/>
      </c>
      <c r="F92" s="12" t="n"/>
      <c r="G92" s="16">
        <f>IF(F92="","",IFERROR(_xlfn.XLOOKUP(F92,Intervenants!$A$2:$A$101,Intervenants!$B$2:$B$101),"ID inconnu"))</f>
        <v/>
      </c>
      <c r="H92" s="16">
        <f>IF(F92="","",IFERROR(_xlfn.XLOOKUP(F92,Intervenants!$A$2:$A$101,Intervenants!$C$2:$C$101),"ID inconnu"))</f>
        <v/>
      </c>
      <c r="I92" s="12" t="n"/>
      <c r="J92" s="16">
        <f>IF(I92="","",IFERROR(_xlfn.XLOOKUP(I92,Chantiers_Zones!$B$2:$B$101,Chantiers_Zones!$C$2:$C$101),"CHANTIER INCONNU"))</f>
        <v/>
      </c>
      <c r="K92" s="12" t="n"/>
      <c r="L92" s="12" t="n"/>
      <c r="M92" s="8" t="n"/>
      <c r="N92" s="8" t="n"/>
      <c r="O92" s="17" t="n"/>
      <c r="P92" s="9">
        <f>IF(M92="Annulée","OK",IF(OR(B92="",C92="",D92="",F92=""),"",IF(COUNTIFS($F$7:$F$206,F92,$B$7:$B$206,B92,$C$7:$C$206,"&lt;"&amp;D92,$D$7:$D$206,"&gt;"&amp;C92,$M$7:$M$206,"&lt;&gt;Annulée")&gt;1,"DOUBLE RÉSERVATION","OK")))</f>
        <v/>
      </c>
      <c r="Q92" s="9">
        <f>IF(M92="Annulée","OK",IF(OR(B92="",C92="",D92="",F92=""),"",IF(SUMPRODUCT((Indisponibilités!$A$2:$A$101=F92)*((Indisponibilités!$B$2:$B$101+Indisponibilités!$C$2:$C$101)&lt;(B92+D92))*((Indisponibilités!$D$2:$D$101+Indisponibilités!$E$2:$E$101)&gt;(B92+C92)))&gt;0,"INDISPONIBLE","OK")))</f>
        <v/>
      </c>
      <c r="R92" s="9">
        <f>IF(OR(I92="",K92=""),"",IF(COUNTIFS(Chantiers_Zones!$B$2:$B$101,I92,Chantiers_Zones!$D$2:$D$101,K92,Chantiers_Zones!$E$2:$E$101,"Oui")&gt;0,"OK","ZONE INVALIDE"))</f>
        <v/>
      </c>
      <c r="S92" s="9">
        <f>IF(OR(B92="",I92=""),"",IFERROR(IF(AND(B92&gt;=_xlfn.XLOOKUP(I92,Chantiers_Zones!$B$2:$B$101,Chantiers_Zones!$F$2:$F$101),B92&lt;=_xlfn.XLOOKUP(I92,Chantiers_Zones!$B$2:$B$101,Chantiers_Zones!$G$2:$G$101)),"OK","HORS PÉRIODE"),"CHANTIER INCONNU"))</f>
        <v/>
      </c>
      <c r="T92" s="9">
        <f>IF(COUNTA(A92:D92,F92,I92,K92:O92)=0,"",IF(M92="Annulée","OK",IF(OR(A92="",B92="",C92="",D92="",F92="",I92="",K92="",L92="",M92=""),"INCOMPLET",IF(D92&lt;=C92,"HORAIRES INVALIDES",IF(OR(C92&lt;Paramètres!$B$3,D92&gt;Paramètres!$B$4),"HORS PLAGE",IF(P92&lt;&gt;"OK",P92,IF(Q92&lt;&gt;"OK",Q92,IF(R92&lt;&gt;"OK",R92,IF(S92&lt;&gt;"OK",S92,"OK")))))))))</f>
        <v/>
      </c>
    </row>
    <row r="93">
      <c r="A93" s="12" t="n"/>
      <c r="B93" s="24" t="n"/>
      <c r="C93" s="25" t="n"/>
      <c r="D93" s="25" t="n"/>
      <c r="E93" s="15">
        <f>IF(OR(C93="",D93=""),"",IF(D93&gt;C93,(D93-C93)*24,""))</f>
        <v/>
      </c>
      <c r="F93" s="12" t="n"/>
      <c r="G93" s="16">
        <f>IF(F93="","",IFERROR(_xlfn.XLOOKUP(F93,Intervenants!$A$2:$A$101,Intervenants!$B$2:$B$101),"ID inconnu"))</f>
        <v/>
      </c>
      <c r="H93" s="16">
        <f>IF(F93="","",IFERROR(_xlfn.XLOOKUP(F93,Intervenants!$A$2:$A$101,Intervenants!$C$2:$C$101),"ID inconnu"))</f>
        <v/>
      </c>
      <c r="I93" s="12" t="n"/>
      <c r="J93" s="16">
        <f>IF(I93="","",IFERROR(_xlfn.XLOOKUP(I93,Chantiers_Zones!$B$2:$B$101,Chantiers_Zones!$C$2:$C$101),"CHANTIER INCONNU"))</f>
        <v/>
      </c>
      <c r="K93" s="12" t="n"/>
      <c r="L93" s="12" t="n"/>
      <c r="M93" s="8" t="n"/>
      <c r="N93" s="8" t="n"/>
      <c r="O93" s="17" t="n"/>
      <c r="P93" s="9">
        <f>IF(M93="Annulée","OK",IF(OR(B93="",C93="",D93="",F93=""),"",IF(COUNTIFS($F$7:$F$206,F93,$B$7:$B$206,B93,$C$7:$C$206,"&lt;"&amp;D93,$D$7:$D$206,"&gt;"&amp;C93,$M$7:$M$206,"&lt;&gt;Annulée")&gt;1,"DOUBLE RÉSERVATION","OK")))</f>
        <v/>
      </c>
      <c r="Q93" s="9">
        <f>IF(M93="Annulée","OK",IF(OR(B93="",C93="",D93="",F93=""),"",IF(SUMPRODUCT((Indisponibilités!$A$2:$A$101=F93)*((Indisponibilités!$B$2:$B$101+Indisponibilités!$C$2:$C$101)&lt;(B93+D93))*((Indisponibilités!$D$2:$D$101+Indisponibilités!$E$2:$E$101)&gt;(B93+C93)))&gt;0,"INDISPONIBLE","OK")))</f>
        <v/>
      </c>
      <c r="R93" s="9">
        <f>IF(OR(I93="",K93=""),"",IF(COUNTIFS(Chantiers_Zones!$B$2:$B$101,I93,Chantiers_Zones!$D$2:$D$101,K93,Chantiers_Zones!$E$2:$E$101,"Oui")&gt;0,"OK","ZONE INVALIDE"))</f>
        <v/>
      </c>
      <c r="S93" s="9">
        <f>IF(OR(B93="",I93=""),"",IFERROR(IF(AND(B93&gt;=_xlfn.XLOOKUP(I93,Chantiers_Zones!$B$2:$B$101,Chantiers_Zones!$F$2:$F$101),B93&lt;=_xlfn.XLOOKUP(I93,Chantiers_Zones!$B$2:$B$101,Chantiers_Zones!$G$2:$G$101)),"OK","HORS PÉRIODE"),"CHANTIER INCONNU"))</f>
        <v/>
      </c>
      <c r="T93" s="9">
        <f>IF(COUNTA(A93:D93,F93,I93,K93:O93)=0,"",IF(M93="Annulée","OK",IF(OR(A93="",B93="",C93="",D93="",F93="",I93="",K93="",L93="",M93=""),"INCOMPLET",IF(D93&lt;=C93,"HORAIRES INVALIDES",IF(OR(C93&lt;Paramètres!$B$3,D93&gt;Paramètres!$B$4),"HORS PLAGE",IF(P93&lt;&gt;"OK",P93,IF(Q93&lt;&gt;"OK",Q93,IF(R93&lt;&gt;"OK",R93,IF(S93&lt;&gt;"OK",S93,"OK")))))))))</f>
        <v/>
      </c>
    </row>
    <row r="94">
      <c r="A94" s="12" t="n"/>
      <c r="B94" s="24" t="n"/>
      <c r="C94" s="25" t="n"/>
      <c r="D94" s="25" t="n"/>
      <c r="E94" s="15">
        <f>IF(OR(C94="",D94=""),"",IF(D94&gt;C94,(D94-C94)*24,""))</f>
        <v/>
      </c>
      <c r="F94" s="12" t="n"/>
      <c r="G94" s="16">
        <f>IF(F94="","",IFERROR(_xlfn.XLOOKUP(F94,Intervenants!$A$2:$A$101,Intervenants!$B$2:$B$101),"ID inconnu"))</f>
        <v/>
      </c>
      <c r="H94" s="16">
        <f>IF(F94="","",IFERROR(_xlfn.XLOOKUP(F94,Intervenants!$A$2:$A$101,Intervenants!$C$2:$C$101),"ID inconnu"))</f>
        <v/>
      </c>
      <c r="I94" s="12" t="n"/>
      <c r="J94" s="16">
        <f>IF(I94="","",IFERROR(_xlfn.XLOOKUP(I94,Chantiers_Zones!$B$2:$B$101,Chantiers_Zones!$C$2:$C$101),"CHANTIER INCONNU"))</f>
        <v/>
      </c>
      <c r="K94" s="12" t="n"/>
      <c r="L94" s="12" t="n"/>
      <c r="M94" s="8" t="n"/>
      <c r="N94" s="8" t="n"/>
      <c r="O94" s="17" t="n"/>
      <c r="P94" s="9">
        <f>IF(M94="Annulée","OK",IF(OR(B94="",C94="",D94="",F94=""),"",IF(COUNTIFS($F$7:$F$206,F94,$B$7:$B$206,B94,$C$7:$C$206,"&lt;"&amp;D94,$D$7:$D$206,"&gt;"&amp;C94,$M$7:$M$206,"&lt;&gt;Annulée")&gt;1,"DOUBLE RÉSERVATION","OK")))</f>
        <v/>
      </c>
      <c r="Q94" s="9">
        <f>IF(M94="Annulée","OK",IF(OR(B94="",C94="",D94="",F94=""),"",IF(SUMPRODUCT((Indisponibilités!$A$2:$A$101=F94)*((Indisponibilités!$B$2:$B$101+Indisponibilités!$C$2:$C$101)&lt;(B94+D94))*((Indisponibilités!$D$2:$D$101+Indisponibilités!$E$2:$E$101)&gt;(B94+C94)))&gt;0,"INDISPONIBLE","OK")))</f>
        <v/>
      </c>
      <c r="R94" s="9">
        <f>IF(OR(I94="",K94=""),"",IF(COUNTIFS(Chantiers_Zones!$B$2:$B$101,I94,Chantiers_Zones!$D$2:$D$101,K94,Chantiers_Zones!$E$2:$E$101,"Oui")&gt;0,"OK","ZONE INVALIDE"))</f>
        <v/>
      </c>
      <c r="S94" s="9">
        <f>IF(OR(B94="",I94=""),"",IFERROR(IF(AND(B94&gt;=_xlfn.XLOOKUP(I94,Chantiers_Zones!$B$2:$B$101,Chantiers_Zones!$F$2:$F$101),B94&lt;=_xlfn.XLOOKUP(I94,Chantiers_Zones!$B$2:$B$101,Chantiers_Zones!$G$2:$G$101)),"OK","HORS PÉRIODE"),"CHANTIER INCONNU"))</f>
        <v/>
      </c>
      <c r="T94" s="9">
        <f>IF(COUNTA(A94:D94,F94,I94,K94:O94)=0,"",IF(M94="Annulée","OK",IF(OR(A94="",B94="",C94="",D94="",F94="",I94="",K94="",L94="",M94=""),"INCOMPLET",IF(D94&lt;=C94,"HORAIRES INVALIDES",IF(OR(C94&lt;Paramètres!$B$3,D94&gt;Paramètres!$B$4),"HORS PLAGE",IF(P94&lt;&gt;"OK",P94,IF(Q94&lt;&gt;"OK",Q94,IF(R94&lt;&gt;"OK",R94,IF(S94&lt;&gt;"OK",S94,"OK")))))))))</f>
        <v/>
      </c>
    </row>
    <row r="95">
      <c r="A95" s="12" t="n"/>
      <c r="B95" s="24" t="n"/>
      <c r="C95" s="25" t="n"/>
      <c r="D95" s="25" t="n"/>
      <c r="E95" s="15">
        <f>IF(OR(C95="",D95=""),"",IF(D95&gt;C95,(D95-C95)*24,""))</f>
        <v/>
      </c>
      <c r="F95" s="12" t="n"/>
      <c r="G95" s="16">
        <f>IF(F95="","",IFERROR(_xlfn.XLOOKUP(F95,Intervenants!$A$2:$A$101,Intervenants!$B$2:$B$101),"ID inconnu"))</f>
        <v/>
      </c>
      <c r="H95" s="16">
        <f>IF(F95="","",IFERROR(_xlfn.XLOOKUP(F95,Intervenants!$A$2:$A$101,Intervenants!$C$2:$C$101),"ID inconnu"))</f>
        <v/>
      </c>
      <c r="I95" s="12" t="n"/>
      <c r="J95" s="16">
        <f>IF(I95="","",IFERROR(_xlfn.XLOOKUP(I95,Chantiers_Zones!$B$2:$B$101,Chantiers_Zones!$C$2:$C$101),"CHANTIER INCONNU"))</f>
        <v/>
      </c>
      <c r="K95" s="12" t="n"/>
      <c r="L95" s="12" t="n"/>
      <c r="M95" s="8" t="n"/>
      <c r="N95" s="8" t="n"/>
      <c r="O95" s="17" t="n"/>
      <c r="P95" s="9">
        <f>IF(M95="Annulée","OK",IF(OR(B95="",C95="",D95="",F95=""),"",IF(COUNTIFS($F$7:$F$206,F95,$B$7:$B$206,B95,$C$7:$C$206,"&lt;"&amp;D95,$D$7:$D$206,"&gt;"&amp;C95,$M$7:$M$206,"&lt;&gt;Annulée")&gt;1,"DOUBLE RÉSERVATION","OK")))</f>
        <v/>
      </c>
      <c r="Q95" s="9">
        <f>IF(M95="Annulée","OK",IF(OR(B95="",C95="",D95="",F95=""),"",IF(SUMPRODUCT((Indisponibilités!$A$2:$A$101=F95)*((Indisponibilités!$B$2:$B$101+Indisponibilités!$C$2:$C$101)&lt;(B95+D95))*((Indisponibilités!$D$2:$D$101+Indisponibilités!$E$2:$E$101)&gt;(B95+C95)))&gt;0,"INDISPONIBLE","OK")))</f>
        <v/>
      </c>
      <c r="R95" s="9">
        <f>IF(OR(I95="",K95=""),"",IF(COUNTIFS(Chantiers_Zones!$B$2:$B$101,I95,Chantiers_Zones!$D$2:$D$101,K95,Chantiers_Zones!$E$2:$E$101,"Oui")&gt;0,"OK","ZONE INVALIDE"))</f>
        <v/>
      </c>
      <c r="S95" s="9">
        <f>IF(OR(B95="",I95=""),"",IFERROR(IF(AND(B95&gt;=_xlfn.XLOOKUP(I95,Chantiers_Zones!$B$2:$B$101,Chantiers_Zones!$F$2:$F$101),B95&lt;=_xlfn.XLOOKUP(I95,Chantiers_Zones!$B$2:$B$101,Chantiers_Zones!$G$2:$G$101)),"OK","HORS PÉRIODE"),"CHANTIER INCONNU"))</f>
        <v/>
      </c>
      <c r="T95" s="9">
        <f>IF(COUNTA(A95:D95,F95,I95,K95:O95)=0,"",IF(M95="Annulée","OK",IF(OR(A95="",B95="",C95="",D95="",F95="",I95="",K95="",L95="",M95=""),"INCOMPLET",IF(D95&lt;=C95,"HORAIRES INVALIDES",IF(OR(C95&lt;Paramètres!$B$3,D95&gt;Paramètres!$B$4),"HORS PLAGE",IF(P95&lt;&gt;"OK",P95,IF(Q95&lt;&gt;"OK",Q95,IF(R95&lt;&gt;"OK",R95,IF(S95&lt;&gt;"OK",S95,"OK")))))))))</f>
        <v/>
      </c>
    </row>
    <row r="96">
      <c r="A96" s="12" t="n"/>
      <c r="B96" s="24" t="n"/>
      <c r="C96" s="25" t="n"/>
      <c r="D96" s="25" t="n"/>
      <c r="E96" s="15">
        <f>IF(OR(C96="",D96=""),"",IF(D96&gt;C96,(D96-C96)*24,""))</f>
        <v/>
      </c>
      <c r="F96" s="12" t="n"/>
      <c r="G96" s="16">
        <f>IF(F96="","",IFERROR(_xlfn.XLOOKUP(F96,Intervenants!$A$2:$A$101,Intervenants!$B$2:$B$101),"ID inconnu"))</f>
        <v/>
      </c>
      <c r="H96" s="16">
        <f>IF(F96="","",IFERROR(_xlfn.XLOOKUP(F96,Intervenants!$A$2:$A$101,Intervenants!$C$2:$C$101),"ID inconnu"))</f>
        <v/>
      </c>
      <c r="I96" s="12" t="n"/>
      <c r="J96" s="16">
        <f>IF(I96="","",IFERROR(_xlfn.XLOOKUP(I96,Chantiers_Zones!$B$2:$B$101,Chantiers_Zones!$C$2:$C$101),"CHANTIER INCONNU"))</f>
        <v/>
      </c>
      <c r="K96" s="12" t="n"/>
      <c r="L96" s="12" t="n"/>
      <c r="M96" s="8" t="n"/>
      <c r="N96" s="8" t="n"/>
      <c r="O96" s="17" t="n"/>
      <c r="P96" s="9">
        <f>IF(M96="Annulée","OK",IF(OR(B96="",C96="",D96="",F96=""),"",IF(COUNTIFS($F$7:$F$206,F96,$B$7:$B$206,B96,$C$7:$C$206,"&lt;"&amp;D96,$D$7:$D$206,"&gt;"&amp;C96,$M$7:$M$206,"&lt;&gt;Annulée")&gt;1,"DOUBLE RÉSERVATION","OK")))</f>
        <v/>
      </c>
      <c r="Q96" s="9">
        <f>IF(M96="Annulée","OK",IF(OR(B96="",C96="",D96="",F96=""),"",IF(SUMPRODUCT((Indisponibilités!$A$2:$A$101=F96)*((Indisponibilités!$B$2:$B$101+Indisponibilités!$C$2:$C$101)&lt;(B96+D96))*((Indisponibilités!$D$2:$D$101+Indisponibilités!$E$2:$E$101)&gt;(B96+C96)))&gt;0,"INDISPONIBLE","OK")))</f>
        <v/>
      </c>
      <c r="R96" s="9">
        <f>IF(OR(I96="",K96=""),"",IF(COUNTIFS(Chantiers_Zones!$B$2:$B$101,I96,Chantiers_Zones!$D$2:$D$101,K96,Chantiers_Zones!$E$2:$E$101,"Oui")&gt;0,"OK","ZONE INVALIDE"))</f>
        <v/>
      </c>
      <c r="S96" s="9">
        <f>IF(OR(B96="",I96=""),"",IFERROR(IF(AND(B96&gt;=_xlfn.XLOOKUP(I96,Chantiers_Zones!$B$2:$B$101,Chantiers_Zones!$F$2:$F$101),B96&lt;=_xlfn.XLOOKUP(I96,Chantiers_Zones!$B$2:$B$101,Chantiers_Zones!$G$2:$G$101)),"OK","HORS PÉRIODE"),"CHANTIER INCONNU"))</f>
        <v/>
      </c>
      <c r="T96" s="9">
        <f>IF(COUNTA(A96:D96,F96,I96,K96:O96)=0,"",IF(M96="Annulée","OK",IF(OR(A96="",B96="",C96="",D96="",F96="",I96="",K96="",L96="",M96=""),"INCOMPLET",IF(D96&lt;=C96,"HORAIRES INVALIDES",IF(OR(C96&lt;Paramètres!$B$3,D96&gt;Paramètres!$B$4),"HORS PLAGE",IF(P96&lt;&gt;"OK",P96,IF(Q96&lt;&gt;"OK",Q96,IF(R96&lt;&gt;"OK",R96,IF(S96&lt;&gt;"OK",S96,"OK")))))))))</f>
        <v/>
      </c>
    </row>
    <row r="97">
      <c r="A97" s="12" t="n"/>
      <c r="B97" s="24" t="n"/>
      <c r="C97" s="25" t="n"/>
      <c r="D97" s="25" t="n"/>
      <c r="E97" s="15">
        <f>IF(OR(C97="",D97=""),"",IF(D97&gt;C97,(D97-C97)*24,""))</f>
        <v/>
      </c>
      <c r="F97" s="12" t="n"/>
      <c r="G97" s="16">
        <f>IF(F97="","",IFERROR(_xlfn.XLOOKUP(F97,Intervenants!$A$2:$A$101,Intervenants!$B$2:$B$101),"ID inconnu"))</f>
        <v/>
      </c>
      <c r="H97" s="16">
        <f>IF(F97="","",IFERROR(_xlfn.XLOOKUP(F97,Intervenants!$A$2:$A$101,Intervenants!$C$2:$C$101),"ID inconnu"))</f>
        <v/>
      </c>
      <c r="I97" s="12" t="n"/>
      <c r="J97" s="16">
        <f>IF(I97="","",IFERROR(_xlfn.XLOOKUP(I97,Chantiers_Zones!$B$2:$B$101,Chantiers_Zones!$C$2:$C$101),"CHANTIER INCONNU"))</f>
        <v/>
      </c>
      <c r="K97" s="12" t="n"/>
      <c r="L97" s="12" t="n"/>
      <c r="M97" s="8" t="n"/>
      <c r="N97" s="8" t="n"/>
      <c r="O97" s="17" t="n"/>
      <c r="P97" s="9">
        <f>IF(M97="Annulée","OK",IF(OR(B97="",C97="",D97="",F97=""),"",IF(COUNTIFS($F$7:$F$206,F97,$B$7:$B$206,B97,$C$7:$C$206,"&lt;"&amp;D97,$D$7:$D$206,"&gt;"&amp;C97,$M$7:$M$206,"&lt;&gt;Annulée")&gt;1,"DOUBLE RÉSERVATION","OK")))</f>
        <v/>
      </c>
      <c r="Q97" s="9">
        <f>IF(M97="Annulée","OK",IF(OR(B97="",C97="",D97="",F97=""),"",IF(SUMPRODUCT((Indisponibilités!$A$2:$A$101=F97)*((Indisponibilités!$B$2:$B$101+Indisponibilités!$C$2:$C$101)&lt;(B97+D97))*((Indisponibilités!$D$2:$D$101+Indisponibilités!$E$2:$E$101)&gt;(B97+C97)))&gt;0,"INDISPONIBLE","OK")))</f>
        <v/>
      </c>
      <c r="R97" s="9">
        <f>IF(OR(I97="",K97=""),"",IF(COUNTIFS(Chantiers_Zones!$B$2:$B$101,I97,Chantiers_Zones!$D$2:$D$101,K97,Chantiers_Zones!$E$2:$E$101,"Oui")&gt;0,"OK","ZONE INVALIDE"))</f>
        <v/>
      </c>
      <c r="S97" s="9">
        <f>IF(OR(B97="",I97=""),"",IFERROR(IF(AND(B97&gt;=_xlfn.XLOOKUP(I97,Chantiers_Zones!$B$2:$B$101,Chantiers_Zones!$F$2:$F$101),B97&lt;=_xlfn.XLOOKUP(I97,Chantiers_Zones!$B$2:$B$101,Chantiers_Zones!$G$2:$G$101)),"OK","HORS PÉRIODE"),"CHANTIER INCONNU"))</f>
        <v/>
      </c>
      <c r="T97" s="9">
        <f>IF(COUNTA(A97:D97,F97,I97,K97:O97)=0,"",IF(M97="Annulée","OK",IF(OR(A97="",B97="",C97="",D97="",F97="",I97="",K97="",L97="",M97=""),"INCOMPLET",IF(D97&lt;=C97,"HORAIRES INVALIDES",IF(OR(C97&lt;Paramètres!$B$3,D97&gt;Paramètres!$B$4),"HORS PLAGE",IF(P97&lt;&gt;"OK",P97,IF(Q97&lt;&gt;"OK",Q97,IF(R97&lt;&gt;"OK",R97,IF(S97&lt;&gt;"OK",S97,"OK")))))))))</f>
        <v/>
      </c>
    </row>
    <row r="98">
      <c r="A98" s="12" t="n"/>
      <c r="B98" s="24" t="n"/>
      <c r="C98" s="25" t="n"/>
      <c r="D98" s="25" t="n"/>
      <c r="E98" s="15">
        <f>IF(OR(C98="",D98=""),"",IF(D98&gt;C98,(D98-C98)*24,""))</f>
        <v/>
      </c>
      <c r="F98" s="12" t="n"/>
      <c r="G98" s="16">
        <f>IF(F98="","",IFERROR(_xlfn.XLOOKUP(F98,Intervenants!$A$2:$A$101,Intervenants!$B$2:$B$101),"ID inconnu"))</f>
        <v/>
      </c>
      <c r="H98" s="16">
        <f>IF(F98="","",IFERROR(_xlfn.XLOOKUP(F98,Intervenants!$A$2:$A$101,Intervenants!$C$2:$C$101),"ID inconnu"))</f>
        <v/>
      </c>
      <c r="I98" s="12" t="n"/>
      <c r="J98" s="16">
        <f>IF(I98="","",IFERROR(_xlfn.XLOOKUP(I98,Chantiers_Zones!$B$2:$B$101,Chantiers_Zones!$C$2:$C$101),"CHANTIER INCONNU"))</f>
        <v/>
      </c>
      <c r="K98" s="12" t="n"/>
      <c r="L98" s="12" t="n"/>
      <c r="M98" s="8" t="n"/>
      <c r="N98" s="8" t="n"/>
      <c r="O98" s="17" t="n"/>
      <c r="P98" s="9">
        <f>IF(M98="Annulée","OK",IF(OR(B98="",C98="",D98="",F98=""),"",IF(COUNTIFS($F$7:$F$206,F98,$B$7:$B$206,B98,$C$7:$C$206,"&lt;"&amp;D98,$D$7:$D$206,"&gt;"&amp;C98,$M$7:$M$206,"&lt;&gt;Annulée")&gt;1,"DOUBLE RÉSERVATION","OK")))</f>
        <v/>
      </c>
      <c r="Q98" s="9">
        <f>IF(M98="Annulée","OK",IF(OR(B98="",C98="",D98="",F98=""),"",IF(SUMPRODUCT((Indisponibilités!$A$2:$A$101=F98)*((Indisponibilités!$B$2:$B$101+Indisponibilités!$C$2:$C$101)&lt;(B98+D98))*((Indisponibilités!$D$2:$D$101+Indisponibilités!$E$2:$E$101)&gt;(B98+C98)))&gt;0,"INDISPONIBLE","OK")))</f>
        <v/>
      </c>
      <c r="R98" s="9">
        <f>IF(OR(I98="",K98=""),"",IF(COUNTIFS(Chantiers_Zones!$B$2:$B$101,I98,Chantiers_Zones!$D$2:$D$101,K98,Chantiers_Zones!$E$2:$E$101,"Oui")&gt;0,"OK","ZONE INVALIDE"))</f>
        <v/>
      </c>
      <c r="S98" s="9">
        <f>IF(OR(B98="",I98=""),"",IFERROR(IF(AND(B98&gt;=_xlfn.XLOOKUP(I98,Chantiers_Zones!$B$2:$B$101,Chantiers_Zones!$F$2:$F$101),B98&lt;=_xlfn.XLOOKUP(I98,Chantiers_Zones!$B$2:$B$101,Chantiers_Zones!$G$2:$G$101)),"OK","HORS PÉRIODE"),"CHANTIER INCONNU"))</f>
        <v/>
      </c>
      <c r="T98" s="9">
        <f>IF(COUNTA(A98:D98,F98,I98,K98:O98)=0,"",IF(M98="Annulée","OK",IF(OR(A98="",B98="",C98="",D98="",F98="",I98="",K98="",L98="",M98=""),"INCOMPLET",IF(D98&lt;=C98,"HORAIRES INVALIDES",IF(OR(C98&lt;Paramètres!$B$3,D98&gt;Paramètres!$B$4),"HORS PLAGE",IF(P98&lt;&gt;"OK",P98,IF(Q98&lt;&gt;"OK",Q98,IF(R98&lt;&gt;"OK",R98,IF(S98&lt;&gt;"OK",S98,"OK")))))))))</f>
        <v/>
      </c>
    </row>
    <row r="99">
      <c r="A99" s="12" t="n"/>
      <c r="B99" s="24" t="n"/>
      <c r="C99" s="25" t="n"/>
      <c r="D99" s="25" t="n"/>
      <c r="E99" s="15">
        <f>IF(OR(C99="",D99=""),"",IF(D99&gt;C99,(D99-C99)*24,""))</f>
        <v/>
      </c>
      <c r="F99" s="12" t="n"/>
      <c r="G99" s="16">
        <f>IF(F99="","",IFERROR(_xlfn.XLOOKUP(F99,Intervenants!$A$2:$A$101,Intervenants!$B$2:$B$101),"ID inconnu"))</f>
        <v/>
      </c>
      <c r="H99" s="16">
        <f>IF(F99="","",IFERROR(_xlfn.XLOOKUP(F99,Intervenants!$A$2:$A$101,Intervenants!$C$2:$C$101),"ID inconnu"))</f>
        <v/>
      </c>
      <c r="I99" s="12" t="n"/>
      <c r="J99" s="16">
        <f>IF(I99="","",IFERROR(_xlfn.XLOOKUP(I99,Chantiers_Zones!$B$2:$B$101,Chantiers_Zones!$C$2:$C$101),"CHANTIER INCONNU"))</f>
        <v/>
      </c>
      <c r="K99" s="12" t="n"/>
      <c r="L99" s="12" t="n"/>
      <c r="M99" s="8" t="n"/>
      <c r="N99" s="8" t="n"/>
      <c r="O99" s="17" t="n"/>
      <c r="P99" s="9">
        <f>IF(M99="Annulée","OK",IF(OR(B99="",C99="",D99="",F99=""),"",IF(COUNTIFS($F$7:$F$206,F99,$B$7:$B$206,B99,$C$7:$C$206,"&lt;"&amp;D99,$D$7:$D$206,"&gt;"&amp;C99,$M$7:$M$206,"&lt;&gt;Annulée")&gt;1,"DOUBLE RÉSERVATION","OK")))</f>
        <v/>
      </c>
      <c r="Q99" s="9">
        <f>IF(M99="Annulée","OK",IF(OR(B99="",C99="",D99="",F99=""),"",IF(SUMPRODUCT((Indisponibilités!$A$2:$A$101=F99)*((Indisponibilités!$B$2:$B$101+Indisponibilités!$C$2:$C$101)&lt;(B99+D99))*((Indisponibilités!$D$2:$D$101+Indisponibilités!$E$2:$E$101)&gt;(B99+C99)))&gt;0,"INDISPONIBLE","OK")))</f>
        <v/>
      </c>
      <c r="R99" s="9">
        <f>IF(OR(I99="",K99=""),"",IF(COUNTIFS(Chantiers_Zones!$B$2:$B$101,I99,Chantiers_Zones!$D$2:$D$101,K99,Chantiers_Zones!$E$2:$E$101,"Oui")&gt;0,"OK","ZONE INVALIDE"))</f>
        <v/>
      </c>
      <c r="S99" s="9">
        <f>IF(OR(B99="",I99=""),"",IFERROR(IF(AND(B99&gt;=_xlfn.XLOOKUP(I99,Chantiers_Zones!$B$2:$B$101,Chantiers_Zones!$F$2:$F$101),B99&lt;=_xlfn.XLOOKUP(I99,Chantiers_Zones!$B$2:$B$101,Chantiers_Zones!$G$2:$G$101)),"OK","HORS PÉRIODE"),"CHANTIER INCONNU"))</f>
        <v/>
      </c>
      <c r="T99" s="9">
        <f>IF(COUNTA(A99:D99,F99,I99,K99:O99)=0,"",IF(M99="Annulée","OK",IF(OR(A99="",B99="",C99="",D99="",F99="",I99="",K99="",L99="",M99=""),"INCOMPLET",IF(D99&lt;=C99,"HORAIRES INVALIDES",IF(OR(C99&lt;Paramètres!$B$3,D99&gt;Paramètres!$B$4),"HORS PLAGE",IF(P99&lt;&gt;"OK",P99,IF(Q99&lt;&gt;"OK",Q99,IF(R99&lt;&gt;"OK",R99,IF(S99&lt;&gt;"OK",S99,"OK")))))))))</f>
        <v/>
      </c>
    </row>
    <row r="100">
      <c r="A100" s="12" t="n"/>
      <c r="B100" s="24" t="n"/>
      <c r="C100" s="25" t="n"/>
      <c r="D100" s="25" t="n"/>
      <c r="E100" s="15">
        <f>IF(OR(C100="",D100=""),"",IF(D100&gt;C100,(D100-C100)*24,""))</f>
        <v/>
      </c>
      <c r="F100" s="12" t="n"/>
      <c r="G100" s="16">
        <f>IF(F100="","",IFERROR(_xlfn.XLOOKUP(F100,Intervenants!$A$2:$A$101,Intervenants!$B$2:$B$101),"ID inconnu"))</f>
        <v/>
      </c>
      <c r="H100" s="16">
        <f>IF(F100="","",IFERROR(_xlfn.XLOOKUP(F100,Intervenants!$A$2:$A$101,Intervenants!$C$2:$C$101),"ID inconnu"))</f>
        <v/>
      </c>
      <c r="I100" s="12" t="n"/>
      <c r="J100" s="16">
        <f>IF(I100="","",IFERROR(_xlfn.XLOOKUP(I100,Chantiers_Zones!$B$2:$B$101,Chantiers_Zones!$C$2:$C$101),"CHANTIER INCONNU"))</f>
        <v/>
      </c>
      <c r="K100" s="12" t="n"/>
      <c r="L100" s="12" t="n"/>
      <c r="M100" s="8" t="n"/>
      <c r="N100" s="8" t="n"/>
      <c r="O100" s="17" t="n"/>
      <c r="P100" s="9">
        <f>IF(M100="Annulée","OK",IF(OR(B100="",C100="",D100="",F100=""),"",IF(COUNTIFS($F$7:$F$206,F100,$B$7:$B$206,B100,$C$7:$C$206,"&lt;"&amp;D100,$D$7:$D$206,"&gt;"&amp;C100,$M$7:$M$206,"&lt;&gt;Annulée")&gt;1,"DOUBLE RÉSERVATION","OK")))</f>
        <v/>
      </c>
      <c r="Q100" s="9">
        <f>IF(M100="Annulée","OK",IF(OR(B100="",C100="",D100="",F100=""),"",IF(SUMPRODUCT((Indisponibilités!$A$2:$A$101=F100)*((Indisponibilités!$B$2:$B$101+Indisponibilités!$C$2:$C$101)&lt;(B100+D100))*((Indisponibilités!$D$2:$D$101+Indisponibilités!$E$2:$E$101)&gt;(B100+C100)))&gt;0,"INDISPONIBLE","OK")))</f>
        <v/>
      </c>
      <c r="R100" s="9">
        <f>IF(OR(I100="",K100=""),"",IF(COUNTIFS(Chantiers_Zones!$B$2:$B$101,I100,Chantiers_Zones!$D$2:$D$101,K100,Chantiers_Zones!$E$2:$E$101,"Oui")&gt;0,"OK","ZONE INVALIDE"))</f>
        <v/>
      </c>
      <c r="S100" s="9">
        <f>IF(OR(B100="",I100=""),"",IFERROR(IF(AND(B100&gt;=_xlfn.XLOOKUP(I100,Chantiers_Zones!$B$2:$B$101,Chantiers_Zones!$F$2:$F$101),B100&lt;=_xlfn.XLOOKUP(I100,Chantiers_Zones!$B$2:$B$101,Chantiers_Zones!$G$2:$G$101)),"OK","HORS PÉRIODE"),"CHANTIER INCONNU"))</f>
        <v/>
      </c>
      <c r="T100" s="9">
        <f>IF(COUNTA(A100:D100,F100,I100,K100:O100)=0,"",IF(M100="Annulée","OK",IF(OR(A100="",B100="",C100="",D100="",F100="",I100="",K100="",L100="",M100=""),"INCOMPLET",IF(D100&lt;=C100,"HORAIRES INVALIDES",IF(OR(C100&lt;Paramètres!$B$3,D100&gt;Paramètres!$B$4),"HORS PLAGE",IF(P100&lt;&gt;"OK",P100,IF(Q100&lt;&gt;"OK",Q100,IF(R100&lt;&gt;"OK",R100,IF(S100&lt;&gt;"OK",S100,"OK")))))))))</f>
        <v/>
      </c>
    </row>
    <row r="101">
      <c r="A101" s="12" t="n"/>
      <c r="B101" s="24" t="n"/>
      <c r="C101" s="25" t="n"/>
      <c r="D101" s="25" t="n"/>
      <c r="E101" s="15">
        <f>IF(OR(C101="",D101=""),"",IF(D101&gt;C101,(D101-C101)*24,""))</f>
        <v/>
      </c>
      <c r="F101" s="12" t="n"/>
      <c r="G101" s="16">
        <f>IF(F101="","",IFERROR(_xlfn.XLOOKUP(F101,Intervenants!$A$2:$A$101,Intervenants!$B$2:$B$101),"ID inconnu"))</f>
        <v/>
      </c>
      <c r="H101" s="16">
        <f>IF(F101="","",IFERROR(_xlfn.XLOOKUP(F101,Intervenants!$A$2:$A$101,Intervenants!$C$2:$C$101),"ID inconnu"))</f>
        <v/>
      </c>
      <c r="I101" s="12" t="n"/>
      <c r="J101" s="16">
        <f>IF(I101="","",IFERROR(_xlfn.XLOOKUP(I101,Chantiers_Zones!$B$2:$B$101,Chantiers_Zones!$C$2:$C$101),"CHANTIER INCONNU"))</f>
        <v/>
      </c>
      <c r="K101" s="12" t="n"/>
      <c r="L101" s="12" t="n"/>
      <c r="M101" s="8" t="n"/>
      <c r="N101" s="8" t="n"/>
      <c r="O101" s="17" t="n"/>
      <c r="P101" s="9">
        <f>IF(M101="Annulée","OK",IF(OR(B101="",C101="",D101="",F101=""),"",IF(COUNTIFS($F$7:$F$206,F101,$B$7:$B$206,B101,$C$7:$C$206,"&lt;"&amp;D101,$D$7:$D$206,"&gt;"&amp;C101,$M$7:$M$206,"&lt;&gt;Annulée")&gt;1,"DOUBLE RÉSERVATION","OK")))</f>
        <v/>
      </c>
      <c r="Q101" s="9">
        <f>IF(M101="Annulée","OK",IF(OR(B101="",C101="",D101="",F101=""),"",IF(SUMPRODUCT((Indisponibilités!$A$2:$A$101=F101)*((Indisponibilités!$B$2:$B$101+Indisponibilités!$C$2:$C$101)&lt;(B101+D101))*((Indisponibilités!$D$2:$D$101+Indisponibilités!$E$2:$E$101)&gt;(B101+C101)))&gt;0,"INDISPONIBLE","OK")))</f>
        <v/>
      </c>
      <c r="R101" s="9">
        <f>IF(OR(I101="",K101=""),"",IF(COUNTIFS(Chantiers_Zones!$B$2:$B$101,I101,Chantiers_Zones!$D$2:$D$101,K101,Chantiers_Zones!$E$2:$E$101,"Oui")&gt;0,"OK","ZONE INVALIDE"))</f>
        <v/>
      </c>
      <c r="S101" s="9">
        <f>IF(OR(B101="",I101=""),"",IFERROR(IF(AND(B101&gt;=_xlfn.XLOOKUP(I101,Chantiers_Zones!$B$2:$B$101,Chantiers_Zones!$F$2:$F$101),B101&lt;=_xlfn.XLOOKUP(I101,Chantiers_Zones!$B$2:$B$101,Chantiers_Zones!$G$2:$G$101)),"OK","HORS PÉRIODE"),"CHANTIER INCONNU"))</f>
        <v/>
      </c>
      <c r="T101" s="9">
        <f>IF(COUNTA(A101:D101,F101,I101,K101:O101)=0,"",IF(M101="Annulée","OK",IF(OR(A101="",B101="",C101="",D101="",F101="",I101="",K101="",L101="",M101=""),"INCOMPLET",IF(D101&lt;=C101,"HORAIRES INVALIDES",IF(OR(C101&lt;Paramètres!$B$3,D101&gt;Paramètres!$B$4),"HORS PLAGE",IF(P101&lt;&gt;"OK",P101,IF(Q101&lt;&gt;"OK",Q101,IF(R101&lt;&gt;"OK",R101,IF(S101&lt;&gt;"OK",S101,"OK")))))))))</f>
        <v/>
      </c>
    </row>
    <row r="102">
      <c r="A102" s="12" t="n"/>
      <c r="B102" s="24" t="n"/>
      <c r="C102" s="25" t="n"/>
      <c r="D102" s="25" t="n"/>
      <c r="E102" s="15">
        <f>IF(OR(C102="",D102=""),"",IF(D102&gt;C102,(D102-C102)*24,""))</f>
        <v/>
      </c>
      <c r="F102" s="12" t="n"/>
      <c r="G102" s="16">
        <f>IF(F102="","",IFERROR(_xlfn.XLOOKUP(F102,Intervenants!$A$2:$A$101,Intervenants!$B$2:$B$101),"ID inconnu"))</f>
        <v/>
      </c>
      <c r="H102" s="16">
        <f>IF(F102="","",IFERROR(_xlfn.XLOOKUP(F102,Intervenants!$A$2:$A$101,Intervenants!$C$2:$C$101),"ID inconnu"))</f>
        <v/>
      </c>
      <c r="I102" s="12" t="n"/>
      <c r="J102" s="16">
        <f>IF(I102="","",IFERROR(_xlfn.XLOOKUP(I102,Chantiers_Zones!$B$2:$B$101,Chantiers_Zones!$C$2:$C$101),"CHANTIER INCONNU"))</f>
        <v/>
      </c>
      <c r="K102" s="12" t="n"/>
      <c r="L102" s="12" t="n"/>
      <c r="M102" s="8" t="n"/>
      <c r="N102" s="8" t="n"/>
      <c r="O102" s="17" t="n"/>
      <c r="P102" s="9">
        <f>IF(M102="Annulée","OK",IF(OR(B102="",C102="",D102="",F102=""),"",IF(COUNTIFS($F$7:$F$206,F102,$B$7:$B$206,B102,$C$7:$C$206,"&lt;"&amp;D102,$D$7:$D$206,"&gt;"&amp;C102,$M$7:$M$206,"&lt;&gt;Annulée")&gt;1,"DOUBLE RÉSERVATION","OK")))</f>
        <v/>
      </c>
      <c r="Q102" s="9">
        <f>IF(M102="Annulée","OK",IF(OR(B102="",C102="",D102="",F102=""),"",IF(SUMPRODUCT((Indisponibilités!$A$2:$A$101=F102)*((Indisponibilités!$B$2:$B$101+Indisponibilités!$C$2:$C$101)&lt;(B102+D102))*((Indisponibilités!$D$2:$D$101+Indisponibilités!$E$2:$E$101)&gt;(B102+C102)))&gt;0,"INDISPONIBLE","OK")))</f>
        <v/>
      </c>
      <c r="R102" s="9">
        <f>IF(OR(I102="",K102=""),"",IF(COUNTIFS(Chantiers_Zones!$B$2:$B$101,I102,Chantiers_Zones!$D$2:$D$101,K102,Chantiers_Zones!$E$2:$E$101,"Oui")&gt;0,"OK","ZONE INVALIDE"))</f>
        <v/>
      </c>
      <c r="S102" s="9">
        <f>IF(OR(B102="",I102=""),"",IFERROR(IF(AND(B102&gt;=_xlfn.XLOOKUP(I102,Chantiers_Zones!$B$2:$B$101,Chantiers_Zones!$F$2:$F$101),B102&lt;=_xlfn.XLOOKUP(I102,Chantiers_Zones!$B$2:$B$101,Chantiers_Zones!$G$2:$G$101)),"OK","HORS PÉRIODE"),"CHANTIER INCONNU"))</f>
        <v/>
      </c>
      <c r="T102" s="9">
        <f>IF(COUNTA(A102:D102,F102,I102,K102:O102)=0,"",IF(M102="Annulée","OK",IF(OR(A102="",B102="",C102="",D102="",F102="",I102="",K102="",L102="",M102=""),"INCOMPLET",IF(D102&lt;=C102,"HORAIRES INVALIDES",IF(OR(C102&lt;Paramètres!$B$3,D102&gt;Paramètres!$B$4),"HORS PLAGE",IF(P102&lt;&gt;"OK",P102,IF(Q102&lt;&gt;"OK",Q102,IF(R102&lt;&gt;"OK",R102,IF(S102&lt;&gt;"OK",S102,"OK")))))))))</f>
        <v/>
      </c>
    </row>
    <row r="103">
      <c r="A103" s="12" t="n"/>
      <c r="B103" s="24" t="n"/>
      <c r="C103" s="25" t="n"/>
      <c r="D103" s="25" t="n"/>
      <c r="E103" s="15">
        <f>IF(OR(C103="",D103=""),"",IF(D103&gt;C103,(D103-C103)*24,""))</f>
        <v/>
      </c>
      <c r="F103" s="12" t="n"/>
      <c r="G103" s="16">
        <f>IF(F103="","",IFERROR(_xlfn.XLOOKUP(F103,Intervenants!$A$2:$A$101,Intervenants!$B$2:$B$101),"ID inconnu"))</f>
        <v/>
      </c>
      <c r="H103" s="16">
        <f>IF(F103="","",IFERROR(_xlfn.XLOOKUP(F103,Intervenants!$A$2:$A$101,Intervenants!$C$2:$C$101),"ID inconnu"))</f>
        <v/>
      </c>
      <c r="I103" s="12" t="n"/>
      <c r="J103" s="16">
        <f>IF(I103="","",IFERROR(_xlfn.XLOOKUP(I103,Chantiers_Zones!$B$2:$B$101,Chantiers_Zones!$C$2:$C$101),"CHANTIER INCONNU"))</f>
        <v/>
      </c>
      <c r="K103" s="12" t="n"/>
      <c r="L103" s="12" t="n"/>
      <c r="M103" s="8" t="n"/>
      <c r="N103" s="8" t="n"/>
      <c r="O103" s="17" t="n"/>
      <c r="P103" s="9">
        <f>IF(M103="Annulée","OK",IF(OR(B103="",C103="",D103="",F103=""),"",IF(COUNTIFS($F$7:$F$206,F103,$B$7:$B$206,B103,$C$7:$C$206,"&lt;"&amp;D103,$D$7:$D$206,"&gt;"&amp;C103,$M$7:$M$206,"&lt;&gt;Annulée")&gt;1,"DOUBLE RÉSERVATION","OK")))</f>
        <v/>
      </c>
      <c r="Q103" s="9">
        <f>IF(M103="Annulée","OK",IF(OR(B103="",C103="",D103="",F103=""),"",IF(SUMPRODUCT((Indisponibilités!$A$2:$A$101=F103)*((Indisponibilités!$B$2:$B$101+Indisponibilités!$C$2:$C$101)&lt;(B103+D103))*((Indisponibilités!$D$2:$D$101+Indisponibilités!$E$2:$E$101)&gt;(B103+C103)))&gt;0,"INDISPONIBLE","OK")))</f>
        <v/>
      </c>
      <c r="R103" s="9">
        <f>IF(OR(I103="",K103=""),"",IF(COUNTIFS(Chantiers_Zones!$B$2:$B$101,I103,Chantiers_Zones!$D$2:$D$101,K103,Chantiers_Zones!$E$2:$E$101,"Oui")&gt;0,"OK","ZONE INVALIDE"))</f>
        <v/>
      </c>
      <c r="S103" s="9">
        <f>IF(OR(B103="",I103=""),"",IFERROR(IF(AND(B103&gt;=_xlfn.XLOOKUP(I103,Chantiers_Zones!$B$2:$B$101,Chantiers_Zones!$F$2:$F$101),B103&lt;=_xlfn.XLOOKUP(I103,Chantiers_Zones!$B$2:$B$101,Chantiers_Zones!$G$2:$G$101)),"OK","HORS PÉRIODE"),"CHANTIER INCONNU"))</f>
        <v/>
      </c>
      <c r="T103" s="9">
        <f>IF(COUNTA(A103:D103,F103,I103,K103:O103)=0,"",IF(M103="Annulée","OK",IF(OR(A103="",B103="",C103="",D103="",F103="",I103="",K103="",L103="",M103=""),"INCOMPLET",IF(D103&lt;=C103,"HORAIRES INVALIDES",IF(OR(C103&lt;Paramètres!$B$3,D103&gt;Paramètres!$B$4),"HORS PLAGE",IF(P103&lt;&gt;"OK",P103,IF(Q103&lt;&gt;"OK",Q103,IF(R103&lt;&gt;"OK",R103,IF(S103&lt;&gt;"OK",S103,"OK")))))))))</f>
        <v/>
      </c>
    </row>
    <row r="104">
      <c r="A104" s="12" t="n"/>
      <c r="B104" s="24" t="n"/>
      <c r="C104" s="25" t="n"/>
      <c r="D104" s="25" t="n"/>
      <c r="E104" s="15">
        <f>IF(OR(C104="",D104=""),"",IF(D104&gt;C104,(D104-C104)*24,""))</f>
        <v/>
      </c>
      <c r="F104" s="12" t="n"/>
      <c r="G104" s="16">
        <f>IF(F104="","",IFERROR(_xlfn.XLOOKUP(F104,Intervenants!$A$2:$A$101,Intervenants!$B$2:$B$101),"ID inconnu"))</f>
        <v/>
      </c>
      <c r="H104" s="16">
        <f>IF(F104="","",IFERROR(_xlfn.XLOOKUP(F104,Intervenants!$A$2:$A$101,Intervenants!$C$2:$C$101),"ID inconnu"))</f>
        <v/>
      </c>
      <c r="I104" s="12" t="n"/>
      <c r="J104" s="16">
        <f>IF(I104="","",IFERROR(_xlfn.XLOOKUP(I104,Chantiers_Zones!$B$2:$B$101,Chantiers_Zones!$C$2:$C$101),"CHANTIER INCONNU"))</f>
        <v/>
      </c>
      <c r="K104" s="12" t="n"/>
      <c r="L104" s="12" t="n"/>
      <c r="M104" s="8" t="n"/>
      <c r="N104" s="8" t="n"/>
      <c r="O104" s="17" t="n"/>
      <c r="P104" s="9">
        <f>IF(M104="Annulée","OK",IF(OR(B104="",C104="",D104="",F104=""),"",IF(COUNTIFS($F$7:$F$206,F104,$B$7:$B$206,B104,$C$7:$C$206,"&lt;"&amp;D104,$D$7:$D$206,"&gt;"&amp;C104,$M$7:$M$206,"&lt;&gt;Annulée")&gt;1,"DOUBLE RÉSERVATION","OK")))</f>
        <v/>
      </c>
      <c r="Q104" s="9">
        <f>IF(M104="Annulée","OK",IF(OR(B104="",C104="",D104="",F104=""),"",IF(SUMPRODUCT((Indisponibilités!$A$2:$A$101=F104)*((Indisponibilités!$B$2:$B$101+Indisponibilités!$C$2:$C$101)&lt;(B104+D104))*((Indisponibilités!$D$2:$D$101+Indisponibilités!$E$2:$E$101)&gt;(B104+C104)))&gt;0,"INDISPONIBLE","OK")))</f>
        <v/>
      </c>
      <c r="R104" s="9">
        <f>IF(OR(I104="",K104=""),"",IF(COUNTIFS(Chantiers_Zones!$B$2:$B$101,I104,Chantiers_Zones!$D$2:$D$101,K104,Chantiers_Zones!$E$2:$E$101,"Oui")&gt;0,"OK","ZONE INVALIDE"))</f>
        <v/>
      </c>
      <c r="S104" s="9">
        <f>IF(OR(B104="",I104=""),"",IFERROR(IF(AND(B104&gt;=_xlfn.XLOOKUP(I104,Chantiers_Zones!$B$2:$B$101,Chantiers_Zones!$F$2:$F$101),B104&lt;=_xlfn.XLOOKUP(I104,Chantiers_Zones!$B$2:$B$101,Chantiers_Zones!$G$2:$G$101)),"OK","HORS PÉRIODE"),"CHANTIER INCONNU"))</f>
        <v/>
      </c>
      <c r="T104" s="9">
        <f>IF(COUNTA(A104:D104,F104,I104,K104:O104)=0,"",IF(M104="Annulée","OK",IF(OR(A104="",B104="",C104="",D104="",F104="",I104="",K104="",L104="",M104=""),"INCOMPLET",IF(D104&lt;=C104,"HORAIRES INVALIDES",IF(OR(C104&lt;Paramètres!$B$3,D104&gt;Paramètres!$B$4),"HORS PLAGE",IF(P104&lt;&gt;"OK",P104,IF(Q104&lt;&gt;"OK",Q104,IF(R104&lt;&gt;"OK",R104,IF(S104&lt;&gt;"OK",S104,"OK")))))))))</f>
        <v/>
      </c>
    </row>
    <row r="105">
      <c r="A105" s="12" t="n"/>
      <c r="B105" s="24" t="n"/>
      <c r="C105" s="25" t="n"/>
      <c r="D105" s="25" t="n"/>
      <c r="E105" s="15">
        <f>IF(OR(C105="",D105=""),"",IF(D105&gt;C105,(D105-C105)*24,""))</f>
        <v/>
      </c>
      <c r="F105" s="12" t="n"/>
      <c r="G105" s="16">
        <f>IF(F105="","",IFERROR(_xlfn.XLOOKUP(F105,Intervenants!$A$2:$A$101,Intervenants!$B$2:$B$101),"ID inconnu"))</f>
        <v/>
      </c>
      <c r="H105" s="16">
        <f>IF(F105="","",IFERROR(_xlfn.XLOOKUP(F105,Intervenants!$A$2:$A$101,Intervenants!$C$2:$C$101),"ID inconnu"))</f>
        <v/>
      </c>
      <c r="I105" s="12" t="n"/>
      <c r="J105" s="16">
        <f>IF(I105="","",IFERROR(_xlfn.XLOOKUP(I105,Chantiers_Zones!$B$2:$B$101,Chantiers_Zones!$C$2:$C$101),"CHANTIER INCONNU"))</f>
        <v/>
      </c>
      <c r="K105" s="12" t="n"/>
      <c r="L105" s="12" t="n"/>
      <c r="M105" s="8" t="n"/>
      <c r="N105" s="8" t="n"/>
      <c r="O105" s="17" t="n"/>
      <c r="P105" s="9">
        <f>IF(M105="Annulée","OK",IF(OR(B105="",C105="",D105="",F105=""),"",IF(COUNTIFS($F$7:$F$206,F105,$B$7:$B$206,B105,$C$7:$C$206,"&lt;"&amp;D105,$D$7:$D$206,"&gt;"&amp;C105,$M$7:$M$206,"&lt;&gt;Annulée")&gt;1,"DOUBLE RÉSERVATION","OK")))</f>
        <v/>
      </c>
      <c r="Q105" s="9">
        <f>IF(M105="Annulée","OK",IF(OR(B105="",C105="",D105="",F105=""),"",IF(SUMPRODUCT((Indisponibilités!$A$2:$A$101=F105)*((Indisponibilités!$B$2:$B$101+Indisponibilités!$C$2:$C$101)&lt;(B105+D105))*((Indisponibilités!$D$2:$D$101+Indisponibilités!$E$2:$E$101)&gt;(B105+C105)))&gt;0,"INDISPONIBLE","OK")))</f>
        <v/>
      </c>
      <c r="R105" s="9">
        <f>IF(OR(I105="",K105=""),"",IF(COUNTIFS(Chantiers_Zones!$B$2:$B$101,I105,Chantiers_Zones!$D$2:$D$101,K105,Chantiers_Zones!$E$2:$E$101,"Oui")&gt;0,"OK","ZONE INVALIDE"))</f>
        <v/>
      </c>
      <c r="S105" s="9">
        <f>IF(OR(B105="",I105=""),"",IFERROR(IF(AND(B105&gt;=_xlfn.XLOOKUP(I105,Chantiers_Zones!$B$2:$B$101,Chantiers_Zones!$F$2:$F$101),B105&lt;=_xlfn.XLOOKUP(I105,Chantiers_Zones!$B$2:$B$101,Chantiers_Zones!$G$2:$G$101)),"OK","HORS PÉRIODE"),"CHANTIER INCONNU"))</f>
        <v/>
      </c>
      <c r="T105" s="9">
        <f>IF(COUNTA(A105:D105,F105,I105,K105:O105)=0,"",IF(M105="Annulée","OK",IF(OR(A105="",B105="",C105="",D105="",F105="",I105="",K105="",L105="",M105=""),"INCOMPLET",IF(D105&lt;=C105,"HORAIRES INVALIDES",IF(OR(C105&lt;Paramètres!$B$3,D105&gt;Paramètres!$B$4),"HORS PLAGE",IF(P105&lt;&gt;"OK",P105,IF(Q105&lt;&gt;"OK",Q105,IF(R105&lt;&gt;"OK",R105,IF(S105&lt;&gt;"OK",S105,"OK")))))))))</f>
        <v/>
      </c>
    </row>
    <row r="106">
      <c r="A106" s="12" t="n"/>
      <c r="B106" s="24" t="n"/>
      <c r="C106" s="25" t="n"/>
      <c r="D106" s="25" t="n"/>
      <c r="E106" s="15">
        <f>IF(OR(C106="",D106=""),"",IF(D106&gt;C106,(D106-C106)*24,""))</f>
        <v/>
      </c>
      <c r="F106" s="12" t="n"/>
      <c r="G106" s="16">
        <f>IF(F106="","",IFERROR(_xlfn.XLOOKUP(F106,Intervenants!$A$2:$A$101,Intervenants!$B$2:$B$101),"ID inconnu"))</f>
        <v/>
      </c>
      <c r="H106" s="16">
        <f>IF(F106="","",IFERROR(_xlfn.XLOOKUP(F106,Intervenants!$A$2:$A$101,Intervenants!$C$2:$C$101),"ID inconnu"))</f>
        <v/>
      </c>
      <c r="I106" s="12" t="n"/>
      <c r="J106" s="16">
        <f>IF(I106="","",IFERROR(_xlfn.XLOOKUP(I106,Chantiers_Zones!$B$2:$B$101,Chantiers_Zones!$C$2:$C$101),"CHANTIER INCONNU"))</f>
        <v/>
      </c>
      <c r="K106" s="12" t="n"/>
      <c r="L106" s="12" t="n"/>
      <c r="M106" s="8" t="n"/>
      <c r="N106" s="8" t="n"/>
      <c r="O106" s="17" t="n"/>
      <c r="P106" s="9">
        <f>IF(M106="Annulée","OK",IF(OR(B106="",C106="",D106="",F106=""),"",IF(COUNTIFS($F$7:$F$206,F106,$B$7:$B$206,B106,$C$7:$C$206,"&lt;"&amp;D106,$D$7:$D$206,"&gt;"&amp;C106,$M$7:$M$206,"&lt;&gt;Annulée")&gt;1,"DOUBLE RÉSERVATION","OK")))</f>
        <v/>
      </c>
      <c r="Q106" s="9">
        <f>IF(M106="Annulée","OK",IF(OR(B106="",C106="",D106="",F106=""),"",IF(SUMPRODUCT((Indisponibilités!$A$2:$A$101=F106)*((Indisponibilités!$B$2:$B$101+Indisponibilités!$C$2:$C$101)&lt;(B106+D106))*((Indisponibilités!$D$2:$D$101+Indisponibilités!$E$2:$E$101)&gt;(B106+C106)))&gt;0,"INDISPONIBLE","OK")))</f>
        <v/>
      </c>
      <c r="R106" s="9">
        <f>IF(OR(I106="",K106=""),"",IF(COUNTIFS(Chantiers_Zones!$B$2:$B$101,I106,Chantiers_Zones!$D$2:$D$101,K106,Chantiers_Zones!$E$2:$E$101,"Oui")&gt;0,"OK","ZONE INVALIDE"))</f>
        <v/>
      </c>
      <c r="S106" s="9">
        <f>IF(OR(B106="",I106=""),"",IFERROR(IF(AND(B106&gt;=_xlfn.XLOOKUP(I106,Chantiers_Zones!$B$2:$B$101,Chantiers_Zones!$F$2:$F$101),B106&lt;=_xlfn.XLOOKUP(I106,Chantiers_Zones!$B$2:$B$101,Chantiers_Zones!$G$2:$G$101)),"OK","HORS PÉRIODE"),"CHANTIER INCONNU"))</f>
        <v/>
      </c>
      <c r="T106" s="9">
        <f>IF(COUNTA(A106:D106,F106,I106,K106:O106)=0,"",IF(M106="Annulée","OK",IF(OR(A106="",B106="",C106="",D106="",F106="",I106="",K106="",L106="",M106=""),"INCOMPLET",IF(D106&lt;=C106,"HORAIRES INVALIDES",IF(OR(C106&lt;Paramètres!$B$3,D106&gt;Paramètres!$B$4),"HORS PLAGE",IF(P106&lt;&gt;"OK",P106,IF(Q106&lt;&gt;"OK",Q106,IF(R106&lt;&gt;"OK",R106,IF(S106&lt;&gt;"OK",S106,"OK")))))))))</f>
        <v/>
      </c>
    </row>
    <row r="107">
      <c r="A107" s="12" t="n"/>
      <c r="B107" s="24" t="n"/>
      <c r="C107" s="25" t="n"/>
      <c r="D107" s="25" t="n"/>
      <c r="E107" s="15">
        <f>IF(OR(C107="",D107=""),"",IF(D107&gt;C107,(D107-C107)*24,""))</f>
        <v/>
      </c>
      <c r="F107" s="12" t="n"/>
      <c r="G107" s="16">
        <f>IF(F107="","",IFERROR(_xlfn.XLOOKUP(F107,Intervenants!$A$2:$A$101,Intervenants!$B$2:$B$101),"ID inconnu"))</f>
        <v/>
      </c>
      <c r="H107" s="16">
        <f>IF(F107="","",IFERROR(_xlfn.XLOOKUP(F107,Intervenants!$A$2:$A$101,Intervenants!$C$2:$C$101),"ID inconnu"))</f>
        <v/>
      </c>
      <c r="I107" s="12" t="n"/>
      <c r="J107" s="16">
        <f>IF(I107="","",IFERROR(_xlfn.XLOOKUP(I107,Chantiers_Zones!$B$2:$B$101,Chantiers_Zones!$C$2:$C$101),"CHANTIER INCONNU"))</f>
        <v/>
      </c>
      <c r="K107" s="12" t="n"/>
      <c r="L107" s="12" t="n"/>
      <c r="M107" s="8" t="n"/>
      <c r="N107" s="8" t="n"/>
      <c r="O107" s="17" t="n"/>
      <c r="P107" s="9">
        <f>IF(M107="Annulée","OK",IF(OR(B107="",C107="",D107="",F107=""),"",IF(COUNTIFS($F$7:$F$206,F107,$B$7:$B$206,B107,$C$7:$C$206,"&lt;"&amp;D107,$D$7:$D$206,"&gt;"&amp;C107,$M$7:$M$206,"&lt;&gt;Annulée")&gt;1,"DOUBLE RÉSERVATION","OK")))</f>
        <v/>
      </c>
      <c r="Q107" s="9">
        <f>IF(M107="Annulée","OK",IF(OR(B107="",C107="",D107="",F107=""),"",IF(SUMPRODUCT((Indisponibilités!$A$2:$A$101=F107)*((Indisponibilités!$B$2:$B$101+Indisponibilités!$C$2:$C$101)&lt;(B107+D107))*((Indisponibilités!$D$2:$D$101+Indisponibilités!$E$2:$E$101)&gt;(B107+C107)))&gt;0,"INDISPONIBLE","OK")))</f>
        <v/>
      </c>
      <c r="R107" s="9">
        <f>IF(OR(I107="",K107=""),"",IF(COUNTIFS(Chantiers_Zones!$B$2:$B$101,I107,Chantiers_Zones!$D$2:$D$101,K107,Chantiers_Zones!$E$2:$E$101,"Oui")&gt;0,"OK","ZONE INVALIDE"))</f>
        <v/>
      </c>
      <c r="S107" s="9">
        <f>IF(OR(B107="",I107=""),"",IFERROR(IF(AND(B107&gt;=_xlfn.XLOOKUP(I107,Chantiers_Zones!$B$2:$B$101,Chantiers_Zones!$F$2:$F$101),B107&lt;=_xlfn.XLOOKUP(I107,Chantiers_Zones!$B$2:$B$101,Chantiers_Zones!$G$2:$G$101)),"OK","HORS PÉRIODE"),"CHANTIER INCONNU"))</f>
        <v/>
      </c>
      <c r="T107" s="9">
        <f>IF(COUNTA(A107:D107,F107,I107,K107:O107)=0,"",IF(M107="Annulée","OK",IF(OR(A107="",B107="",C107="",D107="",F107="",I107="",K107="",L107="",M107=""),"INCOMPLET",IF(D107&lt;=C107,"HORAIRES INVALIDES",IF(OR(C107&lt;Paramètres!$B$3,D107&gt;Paramètres!$B$4),"HORS PLAGE",IF(P107&lt;&gt;"OK",P107,IF(Q107&lt;&gt;"OK",Q107,IF(R107&lt;&gt;"OK",R107,IF(S107&lt;&gt;"OK",S107,"OK")))))))))</f>
        <v/>
      </c>
    </row>
    <row r="108">
      <c r="A108" s="12" t="n"/>
      <c r="B108" s="24" t="n"/>
      <c r="C108" s="25" t="n"/>
      <c r="D108" s="25" t="n"/>
      <c r="E108" s="15">
        <f>IF(OR(C108="",D108=""),"",IF(D108&gt;C108,(D108-C108)*24,""))</f>
        <v/>
      </c>
      <c r="F108" s="12" t="n"/>
      <c r="G108" s="16">
        <f>IF(F108="","",IFERROR(_xlfn.XLOOKUP(F108,Intervenants!$A$2:$A$101,Intervenants!$B$2:$B$101),"ID inconnu"))</f>
        <v/>
      </c>
      <c r="H108" s="16">
        <f>IF(F108="","",IFERROR(_xlfn.XLOOKUP(F108,Intervenants!$A$2:$A$101,Intervenants!$C$2:$C$101),"ID inconnu"))</f>
        <v/>
      </c>
      <c r="I108" s="12" t="n"/>
      <c r="J108" s="16">
        <f>IF(I108="","",IFERROR(_xlfn.XLOOKUP(I108,Chantiers_Zones!$B$2:$B$101,Chantiers_Zones!$C$2:$C$101),"CHANTIER INCONNU"))</f>
        <v/>
      </c>
      <c r="K108" s="12" t="n"/>
      <c r="L108" s="12" t="n"/>
      <c r="M108" s="8" t="n"/>
      <c r="N108" s="8" t="n"/>
      <c r="O108" s="17" t="n"/>
      <c r="P108" s="9">
        <f>IF(M108="Annulée","OK",IF(OR(B108="",C108="",D108="",F108=""),"",IF(COUNTIFS($F$7:$F$206,F108,$B$7:$B$206,B108,$C$7:$C$206,"&lt;"&amp;D108,$D$7:$D$206,"&gt;"&amp;C108,$M$7:$M$206,"&lt;&gt;Annulée")&gt;1,"DOUBLE RÉSERVATION","OK")))</f>
        <v/>
      </c>
      <c r="Q108" s="9">
        <f>IF(M108="Annulée","OK",IF(OR(B108="",C108="",D108="",F108=""),"",IF(SUMPRODUCT((Indisponibilités!$A$2:$A$101=F108)*((Indisponibilités!$B$2:$B$101+Indisponibilités!$C$2:$C$101)&lt;(B108+D108))*((Indisponibilités!$D$2:$D$101+Indisponibilités!$E$2:$E$101)&gt;(B108+C108)))&gt;0,"INDISPONIBLE","OK")))</f>
        <v/>
      </c>
      <c r="R108" s="9">
        <f>IF(OR(I108="",K108=""),"",IF(COUNTIFS(Chantiers_Zones!$B$2:$B$101,I108,Chantiers_Zones!$D$2:$D$101,K108,Chantiers_Zones!$E$2:$E$101,"Oui")&gt;0,"OK","ZONE INVALIDE"))</f>
        <v/>
      </c>
      <c r="S108" s="9">
        <f>IF(OR(B108="",I108=""),"",IFERROR(IF(AND(B108&gt;=_xlfn.XLOOKUP(I108,Chantiers_Zones!$B$2:$B$101,Chantiers_Zones!$F$2:$F$101),B108&lt;=_xlfn.XLOOKUP(I108,Chantiers_Zones!$B$2:$B$101,Chantiers_Zones!$G$2:$G$101)),"OK","HORS PÉRIODE"),"CHANTIER INCONNU"))</f>
        <v/>
      </c>
      <c r="T108" s="9">
        <f>IF(COUNTA(A108:D108,F108,I108,K108:O108)=0,"",IF(M108="Annulée","OK",IF(OR(A108="",B108="",C108="",D108="",F108="",I108="",K108="",L108="",M108=""),"INCOMPLET",IF(D108&lt;=C108,"HORAIRES INVALIDES",IF(OR(C108&lt;Paramètres!$B$3,D108&gt;Paramètres!$B$4),"HORS PLAGE",IF(P108&lt;&gt;"OK",P108,IF(Q108&lt;&gt;"OK",Q108,IF(R108&lt;&gt;"OK",R108,IF(S108&lt;&gt;"OK",S108,"OK")))))))))</f>
        <v/>
      </c>
    </row>
    <row r="109">
      <c r="A109" s="12" t="n"/>
      <c r="B109" s="24" t="n"/>
      <c r="C109" s="25" t="n"/>
      <c r="D109" s="25" t="n"/>
      <c r="E109" s="15">
        <f>IF(OR(C109="",D109=""),"",IF(D109&gt;C109,(D109-C109)*24,""))</f>
        <v/>
      </c>
      <c r="F109" s="12" t="n"/>
      <c r="G109" s="16">
        <f>IF(F109="","",IFERROR(_xlfn.XLOOKUP(F109,Intervenants!$A$2:$A$101,Intervenants!$B$2:$B$101),"ID inconnu"))</f>
        <v/>
      </c>
      <c r="H109" s="16">
        <f>IF(F109="","",IFERROR(_xlfn.XLOOKUP(F109,Intervenants!$A$2:$A$101,Intervenants!$C$2:$C$101),"ID inconnu"))</f>
        <v/>
      </c>
      <c r="I109" s="12" t="n"/>
      <c r="J109" s="16">
        <f>IF(I109="","",IFERROR(_xlfn.XLOOKUP(I109,Chantiers_Zones!$B$2:$B$101,Chantiers_Zones!$C$2:$C$101),"CHANTIER INCONNU"))</f>
        <v/>
      </c>
      <c r="K109" s="12" t="n"/>
      <c r="L109" s="12" t="n"/>
      <c r="M109" s="8" t="n"/>
      <c r="N109" s="8" t="n"/>
      <c r="O109" s="17" t="n"/>
      <c r="P109" s="9">
        <f>IF(M109="Annulée","OK",IF(OR(B109="",C109="",D109="",F109=""),"",IF(COUNTIFS($F$7:$F$206,F109,$B$7:$B$206,B109,$C$7:$C$206,"&lt;"&amp;D109,$D$7:$D$206,"&gt;"&amp;C109,$M$7:$M$206,"&lt;&gt;Annulée")&gt;1,"DOUBLE RÉSERVATION","OK")))</f>
        <v/>
      </c>
      <c r="Q109" s="9">
        <f>IF(M109="Annulée","OK",IF(OR(B109="",C109="",D109="",F109=""),"",IF(SUMPRODUCT((Indisponibilités!$A$2:$A$101=F109)*((Indisponibilités!$B$2:$B$101+Indisponibilités!$C$2:$C$101)&lt;(B109+D109))*((Indisponibilités!$D$2:$D$101+Indisponibilités!$E$2:$E$101)&gt;(B109+C109)))&gt;0,"INDISPONIBLE","OK")))</f>
        <v/>
      </c>
      <c r="R109" s="9">
        <f>IF(OR(I109="",K109=""),"",IF(COUNTIFS(Chantiers_Zones!$B$2:$B$101,I109,Chantiers_Zones!$D$2:$D$101,K109,Chantiers_Zones!$E$2:$E$101,"Oui")&gt;0,"OK","ZONE INVALIDE"))</f>
        <v/>
      </c>
      <c r="S109" s="9">
        <f>IF(OR(B109="",I109=""),"",IFERROR(IF(AND(B109&gt;=_xlfn.XLOOKUP(I109,Chantiers_Zones!$B$2:$B$101,Chantiers_Zones!$F$2:$F$101),B109&lt;=_xlfn.XLOOKUP(I109,Chantiers_Zones!$B$2:$B$101,Chantiers_Zones!$G$2:$G$101)),"OK","HORS PÉRIODE"),"CHANTIER INCONNU"))</f>
        <v/>
      </c>
      <c r="T109" s="9">
        <f>IF(COUNTA(A109:D109,F109,I109,K109:O109)=0,"",IF(M109="Annulée","OK",IF(OR(A109="",B109="",C109="",D109="",F109="",I109="",K109="",L109="",M109=""),"INCOMPLET",IF(D109&lt;=C109,"HORAIRES INVALIDES",IF(OR(C109&lt;Paramètres!$B$3,D109&gt;Paramètres!$B$4),"HORS PLAGE",IF(P109&lt;&gt;"OK",P109,IF(Q109&lt;&gt;"OK",Q109,IF(R109&lt;&gt;"OK",R109,IF(S109&lt;&gt;"OK",S109,"OK")))))))))</f>
        <v/>
      </c>
    </row>
    <row r="110">
      <c r="A110" s="12" t="n"/>
      <c r="B110" s="24" t="n"/>
      <c r="C110" s="25" t="n"/>
      <c r="D110" s="25" t="n"/>
      <c r="E110" s="15">
        <f>IF(OR(C110="",D110=""),"",IF(D110&gt;C110,(D110-C110)*24,""))</f>
        <v/>
      </c>
      <c r="F110" s="12" t="n"/>
      <c r="G110" s="16">
        <f>IF(F110="","",IFERROR(_xlfn.XLOOKUP(F110,Intervenants!$A$2:$A$101,Intervenants!$B$2:$B$101),"ID inconnu"))</f>
        <v/>
      </c>
      <c r="H110" s="16">
        <f>IF(F110="","",IFERROR(_xlfn.XLOOKUP(F110,Intervenants!$A$2:$A$101,Intervenants!$C$2:$C$101),"ID inconnu"))</f>
        <v/>
      </c>
      <c r="I110" s="12" t="n"/>
      <c r="J110" s="16">
        <f>IF(I110="","",IFERROR(_xlfn.XLOOKUP(I110,Chantiers_Zones!$B$2:$B$101,Chantiers_Zones!$C$2:$C$101),"CHANTIER INCONNU"))</f>
        <v/>
      </c>
      <c r="K110" s="12" t="n"/>
      <c r="L110" s="12" t="n"/>
      <c r="M110" s="8" t="n"/>
      <c r="N110" s="8" t="n"/>
      <c r="O110" s="17" t="n"/>
      <c r="P110" s="9">
        <f>IF(M110="Annulée","OK",IF(OR(B110="",C110="",D110="",F110=""),"",IF(COUNTIFS($F$7:$F$206,F110,$B$7:$B$206,B110,$C$7:$C$206,"&lt;"&amp;D110,$D$7:$D$206,"&gt;"&amp;C110,$M$7:$M$206,"&lt;&gt;Annulée")&gt;1,"DOUBLE RÉSERVATION","OK")))</f>
        <v/>
      </c>
      <c r="Q110" s="9">
        <f>IF(M110="Annulée","OK",IF(OR(B110="",C110="",D110="",F110=""),"",IF(SUMPRODUCT((Indisponibilités!$A$2:$A$101=F110)*((Indisponibilités!$B$2:$B$101+Indisponibilités!$C$2:$C$101)&lt;(B110+D110))*((Indisponibilités!$D$2:$D$101+Indisponibilités!$E$2:$E$101)&gt;(B110+C110)))&gt;0,"INDISPONIBLE","OK")))</f>
        <v/>
      </c>
      <c r="R110" s="9">
        <f>IF(OR(I110="",K110=""),"",IF(COUNTIFS(Chantiers_Zones!$B$2:$B$101,I110,Chantiers_Zones!$D$2:$D$101,K110,Chantiers_Zones!$E$2:$E$101,"Oui")&gt;0,"OK","ZONE INVALIDE"))</f>
        <v/>
      </c>
      <c r="S110" s="9">
        <f>IF(OR(B110="",I110=""),"",IFERROR(IF(AND(B110&gt;=_xlfn.XLOOKUP(I110,Chantiers_Zones!$B$2:$B$101,Chantiers_Zones!$F$2:$F$101),B110&lt;=_xlfn.XLOOKUP(I110,Chantiers_Zones!$B$2:$B$101,Chantiers_Zones!$G$2:$G$101)),"OK","HORS PÉRIODE"),"CHANTIER INCONNU"))</f>
        <v/>
      </c>
      <c r="T110" s="9">
        <f>IF(COUNTA(A110:D110,F110,I110,K110:O110)=0,"",IF(M110="Annulée","OK",IF(OR(A110="",B110="",C110="",D110="",F110="",I110="",K110="",L110="",M110=""),"INCOMPLET",IF(D110&lt;=C110,"HORAIRES INVALIDES",IF(OR(C110&lt;Paramètres!$B$3,D110&gt;Paramètres!$B$4),"HORS PLAGE",IF(P110&lt;&gt;"OK",P110,IF(Q110&lt;&gt;"OK",Q110,IF(R110&lt;&gt;"OK",R110,IF(S110&lt;&gt;"OK",S110,"OK")))))))))</f>
        <v/>
      </c>
    </row>
    <row r="111">
      <c r="A111" s="12" t="n"/>
      <c r="B111" s="24" t="n"/>
      <c r="C111" s="25" t="n"/>
      <c r="D111" s="25" t="n"/>
      <c r="E111" s="15">
        <f>IF(OR(C111="",D111=""),"",IF(D111&gt;C111,(D111-C111)*24,""))</f>
        <v/>
      </c>
      <c r="F111" s="12" t="n"/>
      <c r="G111" s="16">
        <f>IF(F111="","",IFERROR(_xlfn.XLOOKUP(F111,Intervenants!$A$2:$A$101,Intervenants!$B$2:$B$101),"ID inconnu"))</f>
        <v/>
      </c>
      <c r="H111" s="16">
        <f>IF(F111="","",IFERROR(_xlfn.XLOOKUP(F111,Intervenants!$A$2:$A$101,Intervenants!$C$2:$C$101),"ID inconnu"))</f>
        <v/>
      </c>
      <c r="I111" s="12" t="n"/>
      <c r="J111" s="16">
        <f>IF(I111="","",IFERROR(_xlfn.XLOOKUP(I111,Chantiers_Zones!$B$2:$B$101,Chantiers_Zones!$C$2:$C$101),"CHANTIER INCONNU"))</f>
        <v/>
      </c>
      <c r="K111" s="12" t="n"/>
      <c r="L111" s="12" t="n"/>
      <c r="M111" s="8" t="n"/>
      <c r="N111" s="8" t="n"/>
      <c r="O111" s="17" t="n"/>
      <c r="P111" s="9">
        <f>IF(M111="Annulée","OK",IF(OR(B111="",C111="",D111="",F111=""),"",IF(COUNTIFS($F$7:$F$206,F111,$B$7:$B$206,B111,$C$7:$C$206,"&lt;"&amp;D111,$D$7:$D$206,"&gt;"&amp;C111,$M$7:$M$206,"&lt;&gt;Annulée")&gt;1,"DOUBLE RÉSERVATION","OK")))</f>
        <v/>
      </c>
      <c r="Q111" s="9">
        <f>IF(M111="Annulée","OK",IF(OR(B111="",C111="",D111="",F111=""),"",IF(SUMPRODUCT((Indisponibilités!$A$2:$A$101=F111)*((Indisponibilités!$B$2:$B$101+Indisponibilités!$C$2:$C$101)&lt;(B111+D111))*((Indisponibilités!$D$2:$D$101+Indisponibilités!$E$2:$E$101)&gt;(B111+C111)))&gt;0,"INDISPONIBLE","OK")))</f>
        <v/>
      </c>
      <c r="R111" s="9">
        <f>IF(OR(I111="",K111=""),"",IF(COUNTIFS(Chantiers_Zones!$B$2:$B$101,I111,Chantiers_Zones!$D$2:$D$101,K111,Chantiers_Zones!$E$2:$E$101,"Oui")&gt;0,"OK","ZONE INVALIDE"))</f>
        <v/>
      </c>
      <c r="S111" s="9">
        <f>IF(OR(B111="",I111=""),"",IFERROR(IF(AND(B111&gt;=_xlfn.XLOOKUP(I111,Chantiers_Zones!$B$2:$B$101,Chantiers_Zones!$F$2:$F$101),B111&lt;=_xlfn.XLOOKUP(I111,Chantiers_Zones!$B$2:$B$101,Chantiers_Zones!$G$2:$G$101)),"OK","HORS PÉRIODE"),"CHANTIER INCONNU"))</f>
        <v/>
      </c>
      <c r="T111" s="9">
        <f>IF(COUNTA(A111:D111,F111,I111,K111:O111)=0,"",IF(M111="Annulée","OK",IF(OR(A111="",B111="",C111="",D111="",F111="",I111="",K111="",L111="",M111=""),"INCOMPLET",IF(D111&lt;=C111,"HORAIRES INVALIDES",IF(OR(C111&lt;Paramètres!$B$3,D111&gt;Paramètres!$B$4),"HORS PLAGE",IF(P111&lt;&gt;"OK",P111,IF(Q111&lt;&gt;"OK",Q111,IF(R111&lt;&gt;"OK",R111,IF(S111&lt;&gt;"OK",S111,"OK")))))))))</f>
        <v/>
      </c>
    </row>
    <row r="112">
      <c r="A112" s="12" t="n"/>
      <c r="B112" s="24" t="n"/>
      <c r="C112" s="25" t="n"/>
      <c r="D112" s="25" t="n"/>
      <c r="E112" s="15">
        <f>IF(OR(C112="",D112=""),"",IF(D112&gt;C112,(D112-C112)*24,""))</f>
        <v/>
      </c>
      <c r="F112" s="12" t="n"/>
      <c r="G112" s="16">
        <f>IF(F112="","",IFERROR(_xlfn.XLOOKUP(F112,Intervenants!$A$2:$A$101,Intervenants!$B$2:$B$101),"ID inconnu"))</f>
        <v/>
      </c>
      <c r="H112" s="16">
        <f>IF(F112="","",IFERROR(_xlfn.XLOOKUP(F112,Intervenants!$A$2:$A$101,Intervenants!$C$2:$C$101),"ID inconnu"))</f>
        <v/>
      </c>
      <c r="I112" s="12" t="n"/>
      <c r="J112" s="16">
        <f>IF(I112="","",IFERROR(_xlfn.XLOOKUP(I112,Chantiers_Zones!$B$2:$B$101,Chantiers_Zones!$C$2:$C$101),"CHANTIER INCONNU"))</f>
        <v/>
      </c>
      <c r="K112" s="12" t="n"/>
      <c r="L112" s="12" t="n"/>
      <c r="M112" s="8" t="n"/>
      <c r="N112" s="8" t="n"/>
      <c r="O112" s="17" t="n"/>
      <c r="P112" s="9">
        <f>IF(M112="Annulée","OK",IF(OR(B112="",C112="",D112="",F112=""),"",IF(COUNTIFS($F$7:$F$206,F112,$B$7:$B$206,B112,$C$7:$C$206,"&lt;"&amp;D112,$D$7:$D$206,"&gt;"&amp;C112,$M$7:$M$206,"&lt;&gt;Annulée")&gt;1,"DOUBLE RÉSERVATION","OK")))</f>
        <v/>
      </c>
      <c r="Q112" s="9">
        <f>IF(M112="Annulée","OK",IF(OR(B112="",C112="",D112="",F112=""),"",IF(SUMPRODUCT((Indisponibilités!$A$2:$A$101=F112)*((Indisponibilités!$B$2:$B$101+Indisponibilités!$C$2:$C$101)&lt;(B112+D112))*((Indisponibilités!$D$2:$D$101+Indisponibilités!$E$2:$E$101)&gt;(B112+C112)))&gt;0,"INDISPONIBLE","OK")))</f>
        <v/>
      </c>
      <c r="R112" s="9">
        <f>IF(OR(I112="",K112=""),"",IF(COUNTIFS(Chantiers_Zones!$B$2:$B$101,I112,Chantiers_Zones!$D$2:$D$101,K112,Chantiers_Zones!$E$2:$E$101,"Oui")&gt;0,"OK","ZONE INVALIDE"))</f>
        <v/>
      </c>
      <c r="S112" s="9">
        <f>IF(OR(B112="",I112=""),"",IFERROR(IF(AND(B112&gt;=_xlfn.XLOOKUP(I112,Chantiers_Zones!$B$2:$B$101,Chantiers_Zones!$F$2:$F$101),B112&lt;=_xlfn.XLOOKUP(I112,Chantiers_Zones!$B$2:$B$101,Chantiers_Zones!$G$2:$G$101)),"OK","HORS PÉRIODE"),"CHANTIER INCONNU"))</f>
        <v/>
      </c>
      <c r="T112" s="9">
        <f>IF(COUNTA(A112:D112,F112,I112,K112:O112)=0,"",IF(M112="Annulée","OK",IF(OR(A112="",B112="",C112="",D112="",F112="",I112="",K112="",L112="",M112=""),"INCOMPLET",IF(D112&lt;=C112,"HORAIRES INVALIDES",IF(OR(C112&lt;Paramètres!$B$3,D112&gt;Paramètres!$B$4),"HORS PLAGE",IF(P112&lt;&gt;"OK",P112,IF(Q112&lt;&gt;"OK",Q112,IF(R112&lt;&gt;"OK",R112,IF(S112&lt;&gt;"OK",S112,"OK")))))))))</f>
        <v/>
      </c>
    </row>
    <row r="113">
      <c r="A113" s="12" t="n"/>
      <c r="B113" s="24" t="n"/>
      <c r="C113" s="25" t="n"/>
      <c r="D113" s="25" t="n"/>
      <c r="E113" s="15">
        <f>IF(OR(C113="",D113=""),"",IF(D113&gt;C113,(D113-C113)*24,""))</f>
        <v/>
      </c>
      <c r="F113" s="12" t="n"/>
      <c r="G113" s="16">
        <f>IF(F113="","",IFERROR(_xlfn.XLOOKUP(F113,Intervenants!$A$2:$A$101,Intervenants!$B$2:$B$101),"ID inconnu"))</f>
        <v/>
      </c>
      <c r="H113" s="16">
        <f>IF(F113="","",IFERROR(_xlfn.XLOOKUP(F113,Intervenants!$A$2:$A$101,Intervenants!$C$2:$C$101),"ID inconnu"))</f>
        <v/>
      </c>
      <c r="I113" s="12" t="n"/>
      <c r="J113" s="16">
        <f>IF(I113="","",IFERROR(_xlfn.XLOOKUP(I113,Chantiers_Zones!$B$2:$B$101,Chantiers_Zones!$C$2:$C$101),"CHANTIER INCONNU"))</f>
        <v/>
      </c>
      <c r="K113" s="12" t="n"/>
      <c r="L113" s="12" t="n"/>
      <c r="M113" s="8" t="n"/>
      <c r="N113" s="8" t="n"/>
      <c r="O113" s="17" t="n"/>
      <c r="P113" s="9">
        <f>IF(M113="Annulée","OK",IF(OR(B113="",C113="",D113="",F113=""),"",IF(COUNTIFS($F$7:$F$206,F113,$B$7:$B$206,B113,$C$7:$C$206,"&lt;"&amp;D113,$D$7:$D$206,"&gt;"&amp;C113,$M$7:$M$206,"&lt;&gt;Annulée")&gt;1,"DOUBLE RÉSERVATION","OK")))</f>
        <v/>
      </c>
      <c r="Q113" s="9">
        <f>IF(M113="Annulée","OK",IF(OR(B113="",C113="",D113="",F113=""),"",IF(SUMPRODUCT((Indisponibilités!$A$2:$A$101=F113)*((Indisponibilités!$B$2:$B$101+Indisponibilités!$C$2:$C$101)&lt;(B113+D113))*((Indisponibilités!$D$2:$D$101+Indisponibilités!$E$2:$E$101)&gt;(B113+C113)))&gt;0,"INDISPONIBLE","OK")))</f>
        <v/>
      </c>
      <c r="R113" s="9">
        <f>IF(OR(I113="",K113=""),"",IF(COUNTIFS(Chantiers_Zones!$B$2:$B$101,I113,Chantiers_Zones!$D$2:$D$101,K113,Chantiers_Zones!$E$2:$E$101,"Oui")&gt;0,"OK","ZONE INVALIDE"))</f>
        <v/>
      </c>
      <c r="S113" s="9">
        <f>IF(OR(B113="",I113=""),"",IFERROR(IF(AND(B113&gt;=_xlfn.XLOOKUP(I113,Chantiers_Zones!$B$2:$B$101,Chantiers_Zones!$F$2:$F$101),B113&lt;=_xlfn.XLOOKUP(I113,Chantiers_Zones!$B$2:$B$101,Chantiers_Zones!$G$2:$G$101)),"OK","HORS PÉRIODE"),"CHANTIER INCONNU"))</f>
        <v/>
      </c>
      <c r="T113" s="9">
        <f>IF(COUNTA(A113:D113,F113,I113,K113:O113)=0,"",IF(M113="Annulée","OK",IF(OR(A113="",B113="",C113="",D113="",F113="",I113="",K113="",L113="",M113=""),"INCOMPLET",IF(D113&lt;=C113,"HORAIRES INVALIDES",IF(OR(C113&lt;Paramètres!$B$3,D113&gt;Paramètres!$B$4),"HORS PLAGE",IF(P113&lt;&gt;"OK",P113,IF(Q113&lt;&gt;"OK",Q113,IF(R113&lt;&gt;"OK",R113,IF(S113&lt;&gt;"OK",S113,"OK")))))))))</f>
        <v/>
      </c>
    </row>
    <row r="114">
      <c r="A114" s="12" t="n"/>
      <c r="B114" s="24" t="n"/>
      <c r="C114" s="25" t="n"/>
      <c r="D114" s="25" t="n"/>
      <c r="E114" s="15">
        <f>IF(OR(C114="",D114=""),"",IF(D114&gt;C114,(D114-C114)*24,""))</f>
        <v/>
      </c>
      <c r="F114" s="12" t="n"/>
      <c r="G114" s="16">
        <f>IF(F114="","",IFERROR(_xlfn.XLOOKUP(F114,Intervenants!$A$2:$A$101,Intervenants!$B$2:$B$101),"ID inconnu"))</f>
        <v/>
      </c>
      <c r="H114" s="16">
        <f>IF(F114="","",IFERROR(_xlfn.XLOOKUP(F114,Intervenants!$A$2:$A$101,Intervenants!$C$2:$C$101),"ID inconnu"))</f>
        <v/>
      </c>
      <c r="I114" s="12" t="n"/>
      <c r="J114" s="16">
        <f>IF(I114="","",IFERROR(_xlfn.XLOOKUP(I114,Chantiers_Zones!$B$2:$B$101,Chantiers_Zones!$C$2:$C$101),"CHANTIER INCONNU"))</f>
        <v/>
      </c>
      <c r="K114" s="12" t="n"/>
      <c r="L114" s="12" t="n"/>
      <c r="M114" s="8" t="n"/>
      <c r="N114" s="8" t="n"/>
      <c r="O114" s="17" t="n"/>
      <c r="P114" s="9">
        <f>IF(M114="Annulée","OK",IF(OR(B114="",C114="",D114="",F114=""),"",IF(COUNTIFS($F$7:$F$206,F114,$B$7:$B$206,B114,$C$7:$C$206,"&lt;"&amp;D114,$D$7:$D$206,"&gt;"&amp;C114,$M$7:$M$206,"&lt;&gt;Annulée")&gt;1,"DOUBLE RÉSERVATION","OK")))</f>
        <v/>
      </c>
      <c r="Q114" s="9">
        <f>IF(M114="Annulée","OK",IF(OR(B114="",C114="",D114="",F114=""),"",IF(SUMPRODUCT((Indisponibilités!$A$2:$A$101=F114)*((Indisponibilités!$B$2:$B$101+Indisponibilités!$C$2:$C$101)&lt;(B114+D114))*((Indisponibilités!$D$2:$D$101+Indisponibilités!$E$2:$E$101)&gt;(B114+C114)))&gt;0,"INDISPONIBLE","OK")))</f>
        <v/>
      </c>
      <c r="R114" s="9">
        <f>IF(OR(I114="",K114=""),"",IF(COUNTIFS(Chantiers_Zones!$B$2:$B$101,I114,Chantiers_Zones!$D$2:$D$101,K114,Chantiers_Zones!$E$2:$E$101,"Oui")&gt;0,"OK","ZONE INVALIDE"))</f>
        <v/>
      </c>
      <c r="S114" s="9">
        <f>IF(OR(B114="",I114=""),"",IFERROR(IF(AND(B114&gt;=_xlfn.XLOOKUP(I114,Chantiers_Zones!$B$2:$B$101,Chantiers_Zones!$F$2:$F$101),B114&lt;=_xlfn.XLOOKUP(I114,Chantiers_Zones!$B$2:$B$101,Chantiers_Zones!$G$2:$G$101)),"OK","HORS PÉRIODE"),"CHANTIER INCONNU"))</f>
        <v/>
      </c>
      <c r="T114" s="9">
        <f>IF(COUNTA(A114:D114,F114,I114,K114:O114)=0,"",IF(M114="Annulée","OK",IF(OR(A114="",B114="",C114="",D114="",F114="",I114="",K114="",L114="",M114=""),"INCOMPLET",IF(D114&lt;=C114,"HORAIRES INVALIDES",IF(OR(C114&lt;Paramètres!$B$3,D114&gt;Paramètres!$B$4),"HORS PLAGE",IF(P114&lt;&gt;"OK",P114,IF(Q114&lt;&gt;"OK",Q114,IF(R114&lt;&gt;"OK",R114,IF(S114&lt;&gt;"OK",S114,"OK")))))))))</f>
        <v/>
      </c>
    </row>
    <row r="115">
      <c r="A115" s="12" t="n"/>
      <c r="B115" s="24" t="n"/>
      <c r="C115" s="25" t="n"/>
      <c r="D115" s="25" t="n"/>
      <c r="E115" s="15">
        <f>IF(OR(C115="",D115=""),"",IF(D115&gt;C115,(D115-C115)*24,""))</f>
        <v/>
      </c>
      <c r="F115" s="12" t="n"/>
      <c r="G115" s="16">
        <f>IF(F115="","",IFERROR(_xlfn.XLOOKUP(F115,Intervenants!$A$2:$A$101,Intervenants!$B$2:$B$101),"ID inconnu"))</f>
        <v/>
      </c>
      <c r="H115" s="16">
        <f>IF(F115="","",IFERROR(_xlfn.XLOOKUP(F115,Intervenants!$A$2:$A$101,Intervenants!$C$2:$C$101),"ID inconnu"))</f>
        <v/>
      </c>
      <c r="I115" s="12" t="n"/>
      <c r="J115" s="16">
        <f>IF(I115="","",IFERROR(_xlfn.XLOOKUP(I115,Chantiers_Zones!$B$2:$B$101,Chantiers_Zones!$C$2:$C$101),"CHANTIER INCONNU"))</f>
        <v/>
      </c>
      <c r="K115" s="12" t="n"/>
      <c r="L115" s="12" t="n"/>
      <c r="M115" s="8" t="n"/>
      <c r="N115" s="8" t="n"/>
      <c r="O115" s="17" t="n"/>
      <c r="P115" s="9">
        <f>IF(M115="Annulée","OK",IF(OR(B115="",C115="",D115="",F115=""),"",IF(COUNTIFS($F$7:$F$206,F115,$B$7:$B$206,B115,$C$7:$C$206,"&lt;"&amp;D115,$D$7:$D$206,"&gt;"&amp;C115,$M$7:$M$206,"&lt;&gt;Annulée")&gt;1,"DOUBLE RÉSERVATION","OK")))</f>
        <v/>
      </c>
      <c r="Q115" s="9">
        <f>IF(M115="Annulée","OK",IF(OR(B115="",C115="",D115="",F115=""),"",IF(SUMPRODUCT((Indisponibilités!$A$2:$A$101=F115)*((Indisponibilités!$B$2:$B$101+Indisponibilités!$C$2:$C$101)&lt;(B115+D115))*((Indisponibilités!$D$2:$D$101+Indisponibilités!$E$2:$E$101)&gt;(B115+C115)))&gt;0,"INDISPONIBLE","OK")))</f>
        <v/>
      </c>
      <c r="R115" s="9">
        <f>IF(OR(I115="",K115=""),"",IF(COUNTIFS(Chantiers_Zones!$B$2:$B$101,I115,Chantiers_Zones!$D$2:$D$101,K115,Chantiers_Zones!$E$2:$E$101,"Oui")&gt;0,"OK","ZONE INVALIDE"))</f>
        <v/>
      </c>
      <c r="S115" s="9">
        <f>IF(OR(B115="",I115=""),"",IFERROR(IF(AND(B115&gt;=_xlfn.XLOOKUP(I115,Chantiers_Zones!$B$2:$B$101,Chantiers_Zones!$F$2:$F$101),B115&lt;=_xlfn.XLOOKUP(I115,Chantiers_Zones!$B$2:$B$101,Chantiers_Zones!$G$2:$G$101)),"OK","HORS PÉRIODE"),"CHANTIER INCONNU"))</f>
        <v/>
      </c>
      <c r="T115" s="9">
        <f>IF(COUNTA(A115:D115,F115,I115,K115:O115)=0,"",IF(M115="Annulée","OK",IF(OR(A115="",B115="",C115="",D115="",F115="",I115="",K115="",L115="",M115=""),"INCOMPLET",IF(D115&lt;=C115,"HORAIRES INVALIDES",IF(OR(C115&lt;Paramètres!$B$3,D115&gt;Paramètres!$B$4),"HORS PLAGE",IF(P115&lt;&gt;"OK",P115,IF(Q115&lt;&gt;"OK",Q115,IF(R115&lt;&gt;"OK",R115,IF(S115&lt;&gt;"OK",S115,"OK")))))))))</f>
        <v/>
      </c>
    </row>
    <row r="116">
      <c r="A116" s="12" t="n"/>
      <c r="B116" s="24" t="n"/>
      <c r="C116" s="25" t="n"/>
      <c r="D116" s="25" t="n"/>
      <c r="E116" s="15">
        <f>IF(OR(C116="",D116=""),"",IF(D116&gt;C116,(D116-C116)*24,""))</f>
        <v/>
      </c>
      <c r="F116" s="12" t="n"/>
      <c r="G116" s="16">
        <f>IF(F116="","",IFERROR(_xlfn.XLOOKUP(F116,Intervenants!$A$2:$A$101,Intervenants!$B$2:$B$101),"ID inconnu"))</f>
        <v/>
      </c>
      <c r="H116" s="16">
        <f>IF(F116="","",IFERROR(_xlfn.XLOOKUP(F116,Intervenants!$A$2:$A$101,Intervenants!$C$2:$C$101),"ID inconnu"))</f>
        <v/>
      </c>
      <c r="I116" s="12" t="n"/>
      <c r="J116" s="16">
        <f>IF(I116="","",IFERROR(_xlfn.XLOOKUP(I116,Chantiers_Zones!$B$2:$B$101,Chantiers_Zones!$C$2:$C$101),"CHANTIER INCONNU"))</f>
        <v/>
      </c>
      <c r="K116" s="12" t="n"/>
      <c r="L116" s="12" t="n"/>
      <c r="M116" s="8" t="n"/>
      <c r="N116" s="8" t="n"/>
      <c r="O116" s="17" t="n"/>
      <c r="P116" s="9">
        <f>IF(M116="Annulée","OK",IF(OR(B116="",C116="",D116="",F116=""),"",IF(COUNTIFS($F$7:$F$206,F116,$B$7:$B$206,B116,$C$7:$C$206,"&lt;"&amp;D116,$D$7:$D$206,"&gt;"&amp;C116,$M$7:$M$206,"&lt;&gt;Annulée")&gt;1,"DOUBLE RÉSERVATION","OK")))</f>
        <v/>
      </c>
      <c r="Q116" s="9">
        <f>IF(M116="Annulée","OK",IF(OR(B116="",C116="",D116="",F116=""),"",IF(SUMPRODUCT((Indisponibilités!$A$2:$A$101=F116)*((Indisponibilités!$B$2:$B$101+Indisponibilités!$C$2:$C$101)&lt;(B116+D116))*((Indisponibilités!$D$2:$D$101+Indisponibilités!$E$2:$E$101)&gt;(B116+C116)))&gt;0,"INDISPONIBLE","OK")))</f>
        <v/>
      </c>
      <c r="R116" s="9">
        <f>IF(OR(I116="",K116=""),"",IF(COUNTIFS(Chantiers_Zones!$B$2:$B$101,I116,Chantiers_Zones!$D$2:$D$101,K116,Chantiers_Zones!$E$2:$E$101,"Oui")&gt;0,"OK","ZONE INVALIDE"))</f>
        <v/>
      </c>
      <c r="S116" s="9">
        <f>IF(OR(B116="",I116=""),"",IFERROR(IF(AND(B116&gt;=_xlfn.XLOOKUP(I116,Chantiers_Zones!$B$2:$B$101,Chantiers_Zones!$F$2:$F$101),B116&lt;=_xlfn.XLOOKUP(I116,Chantiers_Zones!$B$2:$B$101,Chantiers_Zones!$G$2:$G$101)),"OK","HORS PÉRIODE"),"CHANTIER INCONNU"))</f>
        <v/>
      </c>
      <c r="T116" s="9">
        <f>IF(COUNTA(A116:D116,F116,I116,K116:O116)=0,"",IF(M116="Annulée","OK",IF(OR(A116="",B116="",C116="",D116="",F116="",I116="",K116="",L116="",M116=""),"INCOMPLET",IF(D116&lt;=C116,"HORAIRES INVALIDES",IF(OR(C116&lt;Paramètres!$B$3,D116&gt;Paramètres!$B$4),"HORS PLAGE",IF(P116&lt;&gt;"OK",P116,IF(Q116&lt;&gt;"OK",Q116,IF(R116&lt;&gt;"OK",R116,IF(S116&lt;&gt;"OK",S116,"OK")))))))))</f>
        <v/>
      </c>
    </row>
    <row r="117">
      <c r="A117" s="12" t="n"/>
      <c r="B117" s="24" t="n"/>
      <c r="C117" s="25" t="n"/>
      <c r="D117" s="25" t="n"/>
      <c r="E117" s="15">
        <f>IF(OR(C117="",D117=""),"",IF(D117&gt;C117,(D117-C117)*24,""))</f>
        <v/>
      </c>
      <c r="F117" s="12" t="n"/>
      <c r="G117" s="16">
        <f>IF(F117="","",IFERROR(_xlfn.XLOOKUP(F117,Intervenants!$A$2:$A$101,Intervenants!$B$2:$B$101),"ID inconnu"))</f>
        <v/>
      </c>
      <c r="H117" s="16">
        <f>IF(F117="","",IFERROR(_xlfn.XLOOKUP(F117,Intervenants!$A$2:$A$101,Intervenants!$C$2:$C$101),"ID inconnu"))</f>
        <v/>
      </c>
      <c r="I117" s="12" t="n"/>
      <c r="J117" s="16">
        <f>IF(I117="","",IFERROR(_xlfn.XLOOKUP(I117,Chantiers_Zones!$B$2:$B$101,Chantiers_Zones!$C$2:$C$101),"CHANTIER INCONNU"))</f>
        <v/>
      </c>
      <c r="K117" s="12" t="n"/>
      <c r="L117" s="12" t="n"/>
      <c r="M117" s="8" t="n"/>
      <c r="N117" s="8" t="n"/>
      <c r="O117" s="17" t="n"/>
      <c r="P117" s="9">
        <f>IF(M117="Annulée","OK",IF(OR(B117="",C117="",D117="",F117=""),"",IF(COUNTIFS($F$7:$F$206,F117,$B$7:$B$206,B117,$C$7:$C$206,"&lt;"&amp;D117,$D$7:$D$206,"&gt;"&amp;C117,$M$7:$M$206,"&lt;&gt;Annulée")&gt;1,"DOUBLE RÉSERVATION","OK")))</f>
        <v/>
      </c>
      <c r="Q117" s="9">
        <f>IF(M117="Annulée","OK",IF(OR(B117="",C117="",D117="",F117=""),"",IF(SUMPRODUCT((Indisponibilités!$A$2:$A$101=F117)*((Indisponibilités!$B$2:$B$101+Indisponibilités!$C$2:$C$101)&lt;(B117+D117))*((Indisponibilités!$D$2:$D$101+Indisponibilités!$E$2:$E$101)&gt;(B117+C117)))&gt;0,"INDISPONIBLE","OK")))</f>
        <v/>
      </c>
      <c r="R117" s="9">
        <f>IF(OR(I117="",K117=""),"",IF(COUNTIFS(Chantiers_Zones!$B$2:$B$101,I117,Chantiers_Zones!$D$2:$D$101,K117,Chantiers_Zones!$E$2:$E$101,"Oui")&gt;0,"OK","ZONE INVALIDE"))</f>
        <v/>
      </c>
      <c r="S117" s="9">
        <f>IF(OR(B117="",I117=""),"",IFERROR(IF(AND(B117&gt;=_xlfn.XLOOKUP(I117,Chantiers_Zones!$B$2:$B$101,Chantiers_Zones!$F$2:$F$101),B117&lt;=_xlfn.XLOOKUP(I117,Chantiers_Zones!$B$2:$B$101,Chantiers_Zones!$G$2:$G$101)),"OK","HORS PÉRIODE"),"CHANTIER INCONNU"))</f>
        <v/>
      </c>
      <c r="T117" s="9">
        <f>IF(COUNTA(A117:D117,F117,I117,K117:O117)=0,"",IF(M117="Annulée","OK",IF(OR(A117="",B117="",C117="",D117="",F117="",I117="",K117="",L117="",M117=""),"INCOMPLET",IF(D117&lt;=C117,"HORAIRES INVALIDES",IF(OR(C117&lt;Paramètres!$B$3,D117&gt;Paramètres!$B$4),"HORS PLAGE",IF(P117&lt;&gt;"OK",P117,IF(Q117&lt;&gt;"OK",Q117,IF(R117&lt;&gt;"OK",R117,IF(S117&lt;&gt;"OK",S117,"OK")))))))))</f>
        <v/>
      </c>
    </row>
    <row r="118">
      <c r="A118" s="12" t="n"/>
      <c r="B118" s="24" t="n"/>
      <c r="C118" s="25" t="n"/>
      <c r="D118" s="25" t="n"/>
      <c r="E118" s="15">
        <f>IF(OR(C118="",D118=""),"",IF(D118&gt;C118,(D118-C118)*24,""))</f>
        <v/>
      </c>
      <c r="F118" s="12" t="n"/>
      <c r="G118" s="16">
        <f>IF(F118="","",IFERROR(_xlfn.XLOOKUP(F118,Intervenants!$A$2:$A$101,Intervenants!$B$2:$B$101),"ID inconnu"))</f>
        <v/>
      </c>
      <c r="H118" s="16">
        <f>IF(F118="","",IFERROR(_xlfn.XLOOKUP(F118,Intervenants!$A$2:$A$101,Intervenants!$C$2:$C$101),"ID inconnu"))</f>
        <v/>
      </c>
      <c r="I118" s="12" t="n"/>
      <c r="J118" s="16">
        <f>IF(I118="","",IFERROR(_xlfn.XLOOKUP(I118,Chantiers_Zones!$B$2:$B$101,Chantiers_Zones!$C$2:$C$101),"CHANTIER INCONNU"))</f>
        <v/>
      </c>
      <c r="K118" s="12" t="n"/>
      <c r="L118" s="12" t="n"/>
      <c r="M118" s="8" t="n"/>
      <c r="N118" s="8" t="n"/>
      <c r="O118" s="17" t="n"/>
      <c r="P118" s="9">
        <f>IF(M118="Annulée","OK",IF(OR(B118="",C118="",D118="",F118=""),"",IF(COUNTIFS($F$7:$F$206,F118,$B$7:$B$206,B118,$C$7:$C$206,"&lt;"&amp;D118,$D$7:$D$206,"&gt;"&amp;C118,$M$7:$M$206,"&lt;&gt;Annulée")&gt;1,"DOUBLE RÉSERVATION","OK")))</f>
        <v/>
      </c>
      <c r="Q118" s="9">
        <f>IF(M118="Annulée","OK",IF(OR(B118="",C118="",D118="",F118=""),"",IF(SUMPRODUCT((Indisponibilités!$A$2:$A$101=F118)*((Indisponibilités!$B$2:$B$101+Indisponibilités!$C$2:$C$101)&lt;(B118+D118))*((Indisponibilités!$D$2:$D$101+Indisponibilités!$E$2:$E$101)&gt;(B118+C118)))&gt;0,"INDISPONIBLE","OK")))</f>
        <v/>
      </c>
      <c r="R118" s="9">
        <f>IF(OR(I118="",K118=""),"",IF(COUNTIFS(Chantiers_Zones!$B$2:$B$101,I118,Chantiers_Zones!$D$2:$D$101,K118,Chantiers_Zones!$E$2:$E$101,"Oui")&gt;0,"OK","ZONE INVALIDE"))</f>
        <v/>
      </c>
      <c r="S118" s="9">
        <f>IF(OR(B118="",I118=""),"",IFERROR(IF(AND(B118&gt;=_xlfn.XLOOKUP(I118,Chantiers_Zones!$B$2:$B$101,Chantiers_Zones!$F$2:$F$101),B118&lt;=_xlfn.XLOOKUP(I118,Chantiers_Zones!$B$2:$B$101,Chantiers_Zones!$G$2:$G$101)),"OK","HORS PÉRIODE"),"CHANTIER INCONNU"))</f>
        <v/>
      </c>
      <c r="T118" s="9">
        <f>IF(COUNTA(A118:D118,F118,I118,K118:O118)=0,"",IF(M118="Annulée","OK",IF(OR(A118="",B118="",C118="",D118="",F118="",I118="",K118="",L118="",M118=""),"INCOMPLET",IF(D118&lt;=C118,"HORAIRES INVALIDES",IF(OR(C118&lt;Paramètres!$B$3,D118&gt;Paramètres!$B$4),"HORS PLAGE",IF(P118&lt;&gt;"OK",P118,IF(Q118&lt;&gt;"OK",Q118,IF(R118&lt;&gt;"OK",R118,IF(S118&lt;&gt;"OK",S118,"OK")))))))))</f>
        <v/>
      </c>
    </row>
    <row r="119">
      <c r="A119" s="12" t="n"/>
      <c r="B119" s="24" t="n"/>
      <c r="C119" s="25" t="n"/>
      <c r="D119" s="25" t="n"/>
      <c r="E119" s="15">
        <f>IF(OR(C119="",D119=""),"",IF(D119&gt;C119,(D119-C119)*24,""))</f>
        <v/>
      </c>
      <c r="F119" s="12" t="n"/>
      <c r="G119" s="16">
        <f>IF(F119="","",IFERROR(_xlfn.XLOOKUP(F119,Intervenants!$A$2:$A$101,Intervenants!$B$2:$B$101),"ID inconnu"))</f>
        <v/>
      </c>
      <c r="H119" s="16">
        <f>IF(F119="","",IFERROR(_xlfn.XLOOKUP(F119,Intervenants!$A$2:$A$101,Intervenants!$C$2:$C$101),"ID inconnu"))</f>
        <v/>
      </c>
      <c r="I119" s="12" t="n"/>
      <c r="J119" s="16">
        <f>IF(I119="","",IFERROR(_xlfn.XLOOKUP(I119,Chantiers_Zones!$B$2:$B$101,Chantiers_Zones!$C$2:$C$101),"CHANTIER INCONNU"))</f>
        <v/>
      </c>
      <c r="K119" s="12" t="n"/>
      <c r="L119" s="12" t="n"/>
      <c r="M119" s="8" t="n"/>
      <c r="N119" s="8" t="n"/>
      <c r="O119" s="17" t="n"/>
      <c r="P119" s="9">
        <f>IF(M119="Annulée","OK",IF(OR(B119="",C119="",D119="",F119=""),"",IF(COUNTIFS($F$7:$F$206,F119,$B$7:$B$206,B119,$C$7:$C$206,"&lt;"&amp;D119,$D$7:$D$206,"&gt;"&amp;C119,$M$7:$M$206,"&lt;&gt;Annulée")&gt;1,"DOUBLE RÉSERVATION","OK")))</f>
        <v/>
      </c>
      <c r="Q119" s="9">
        <f>IF(M119="Annulée","OK",IF(OR(B119="",C119="",D119="",F119=""),"",IF(SUMPRODUCT((Indisponibilités!$A$2:$A$101=F119)*((Indisponibilités!$B$2:$B$101+Indisponibilités!$C$2:$C$101)&lt;(B119+D119))*((Indisponibilités!$D$2:$D$101+Indisponibilités!$E$2:$E$101)&gt;(B119+C119)))&gt;0,"INDISPONIBLE","OK")))</f>
        <v/>
      </c>
      <c r="R119" s="9">
        <f>IF(OR(I119="",K119=""),"",IF(COUNTIFS(Chantiers_Zones!$B$2:$B$101,I119,Chantiers_Zones!$D$2:$D$101,K119,Chantiers_Zones!$E$2:$E$101,"Oui")&gt;0,"OK","ZONE INVALIDE"))</f>
        <v/>
      </c>
      <c r="S119" s="9">
        <f>IF(OR(B119="",I119=""),"",IFERROR(IF(AND(B119&gt;=_xlfn.XLOOKUP(I119,Chantiers_Zones!$B$2:$B$101,Chantiers_Zones!$F$2:$F$101),B119&lt;=_xlfn.XLOOKUP(I119,Chantiers_Zones!$B$2:$B$101,Chantiers_Zones!$G$2:$G$101)),"OK","HORS PÉRIODE"),"CHANTIER INCONNU"))</f>
        <v/>
      </c>
      <c r="T119" s="9">
        <f>IF(COUNTA(A119:D119,F119,I119,K119:O119)=0,"",IF(M119="Annulée","OK",IF(OR(A119="",B119="",C119="",D119="",F119="",I119="",K119="",L119="",M119=""),"INCOMPLET",IF(D119&lt;=C119,"HORAIRES INVALIDES",IF(OR(C119&lt;Paramètres!$B$3,D119&gt;Paramètres!$B$4),"HORS PLAGE",IF(P119&lt;&gt;"OK",P119,IF(Q119&lt;&gt;"OK",Q119,IF(R119&lt;&gt;"OK",R119,IF(S119&lt;&gt;"OK",S119,"OK")))))))))</f>
        <v/>
      </c>
    </row>
    <row r="120">
      <c r="A120" s="12" t="n"/>
      <c r="B120" s="24" t="n"/>
      <c r="C120" s="25" t="n"/>
      <c r="D120" s="25" t="n"/>
      <c r="E120" s="15">
        <f>IF(OR(C120="",D120=""),"",IF(D120&gt;C120,(D120-C120)*24,""))</f>
        <v/>
      </c>
      <c r="F120" s="12" t="n"/>
      <c r="G120" s="16">
        <f>IF(F120="","",IFERROR(_xlfn.XLOOKUP(F120,Intervenants!$A$2:$A$101,Intervenants!$B$2:$B$101),"ID inconnu"))</f>
        <v/>
      </c>
      <c r="H120" s="16">
        <f>IF(F120="","",IFERROR(_xlfn.XLOOKUP(F120,Intervenants!$A$2:$A$101,Intervenants!$C$2:$C$101),"ID inconnu"))</f>
        <v/>
      </c>
      <c r="I120" s="12" t="n"/>
      <c r="J120" s="16">
        <f>IF(I120="","",IFERROR(_xlfn.XLOOKUP(I120,Chantiers_Zones!$B$2:$B$101,Chantiers_Zones!$C$2:$C$101),"CHANTIER INCONNU"))</f>
        <v/>
      </c>
      <c r="K120" s="12" t="n"/>
      <c r="L120" s="12" t="n"/>
      <c r="M120" s="8" t="n"/>
      <c r="N120" s="8" t="n"/>
      <c r="O120" s="17" t="n"/>
      <c r="P120" s="9">
        <f>IF(M120="Annulée","OK",IF(OR(B120="",C120="",D120="",F120=""),"",IF(COUNTIFS($F$7:$F$206,F120,$B$7:$B$206,B120,$C$7:$C$206,"&lt;"&amp;D120,$D$7:$D$206,"&gt;"&amp;C120,$M$7:$M$206,"&lt;&gt;Annulée")&gt;1,"DOUBLE RÉSERVATION","OK")))</f>
        <v/>
      </c>
      <c r="Q120" s="9">
        <f>IF(M120="Annulée","OK",IF(OR(B120="",C120="",D120="",F120=""),"",IF(SUMPRODUCT((Indisponibilités!$A$2:$A$101=F120)*((Indisponibilités!$B$2:$B$101+Indisponibilités!$C$2:$C$101)&lt;(B120+D120))*((Indisponibilités!$D$2:$D$101+Indisponibilités!$E$2:$E$101)&gt;(B120+C120)))&gt;0,"INDISPONIBLE","OK")))</f>
        <v/>
      </c>
      <c r="R120" s="9">
        <f>IF(OR(I120="",K120=""),"",IF(COUNTIFS(Chantiers_Zones!$B$2:$B$101,I120,Chantiers_Zones!$D$2:$D$101,K120,Chantiers_Zones!$E$2:$E$101,"Oui")&gt;0,"OK","ZONE INVALIDE"))</f>
        <v/>
      </c>
      <c r="S120" s="9">
        <f>IF(OR(B120="",I120=""),"",IFERROR(IF(AND(B120&gt;=_xlfn.XLOOKUP(I120,Chantiers_Zones!$B$2:$B$101,Chantiers_Zones!$F$2:$F$101),B120&lt;=_xlfn.XLOOKUP(I120,Chantiers_Zones!$B$2:$B$101,Chantiers_Zones!$G$2:$G$101)),"OK","HORS PÉRIODE"),"CHANTIER INCONNU"))</f>
        <v/>
      </c>
      <c r="T120" s="9">
        <f>IF(COUNTA(A120:D120,F120,I120,K120:O120)=0,"",IF(M120="Annulée","OK",IF(OR(A120="",B120="",C120="",D120="",F120="",I120="",K120="",L120="",M120=""),"INCOMPLET",IF(D120&lt;=C120,"HORAIRES INVALIDES",IF(OR(C120&lt;Paramètres!$B$3,D120&gt;Paramètres!$B$4),"HORS PLAGE",IF(P120&lt;&gt;"OK",P120,IF(Q120&lt;&gt;"OK",Q120,IF(R120&lt;&gt;"OK",R120,IF(S120&lt;&gt;"OK",S120,"OK")))))))))</f>
        <v/>
      </c>
    </row>
    <row r="121">
      <c r="A121" s="12" t="n"/>
      <c r="B121" s="24" t="n"/>
      <c r="C121" s="25" t="n"/>
      <c r="D121" s="25" t="n"/>
      <c r="E121" s="15">
        <f>IF(OR(C121="",D121=""),"",IF(D121&gt;C121,(D121-C121)*24,""))</f>
        <v/>
      </c>
      <c r="F121" s="12" t="n"/>
      <c r="G121" s="16">
        <f>IF(F121="","",IFERROR(_xlfn.XLOOKUP(F121,Intervenants!$A$2:$A$101,Intervenants!$B$2:$B$101),"ID inconnu"))</f>
        <v/>
      </c>
      <c r="H121" s="16">
        <f>IF(F121="","",IFERROR(_xlfn.XLOOKUP(F121,Intervenants!$A$2:$A$101,Intervenants!$C$2:$C$101),"ID inconnu"))</f>
        <v/>
      </c>
      <c r="I121" s="12" t="n"/>
      <c r="J121" s="16">
        <f>IF(I121="","",IFERROR(_xlfn.XLOOKUP(I121,Chantiers_Zones!$B$2:$B$101,Chantiers_Zones!$C$2:$C$101),"CHANTIER INCONNU"))</f>
        <v/>
      </c>
      <c r="K121" s="12" t="n"/>
      <c r="L121" s="12" t="n"/>
      <c r="M121" s="8" t="n"/>
      <c r="N121" s="8" t="n"/>
      <c r="O121" s="17" t="n"/>
      <c r="P121" s="9">
        <f>IF(M121="Annulée","OK",IF(OR(B121="",C121="",D121="",F121=""),"",IF(COUNTIFS($F$7:$F$206,F121,$B$7:$B$206,B121,$C$7:$C$206,"&lt;"&amp;D121,$D$7:$D$206,"&gt;"&amp;C121,$M$7:$M$206,"&lt;&gt;Annulée")&gt;1,"DOUBLE RÉSERVATION","OK")))</f>
        <v/>
      </c>
      <c r="Q121" s="9">
        <f>IF(M121="Annulée","OK",IF(OR(B121="",C121="",D121="",F121=""),"",IF(SUMPRODUCT((Indisponibilités!$A$2:$A$101=F121)*((Indisponibilités!$B$2:$B$101+Indisponibilités!$C$2:$C$101)&lt;(B121+D121))*((Indisponibilités!$D$2:$D$101+Indisponibilités!$E$2:$E$101)&gt;(B121+C121)))&gt;0,"INDISPONIBLE","OK")))</f>
        <v/>
      </c>
      <c r="R121" s="9">
        <f>IF(OR(I121="",K121=""),"",IF(COUNTIFS(Chantiers_Zones!$B$2:$B$101,I121,Chantiers_Zones!$D$2:$D$101,K121,Chantiers_Zones!$E$2:$E$101,"Oui")&gt;0,"OK","ZONE INVALIDE"))</f>
        <v/>
      </c>
      <c r="S121" s="9">
        <f>IF(OR(B121="",I121=""),"",IFERROR(IF(AND(B121&gt;=_xlfn.XLOOKUP(I121,Chantiers_Zones!$B$2:$B$101,Chantiers_Zones!$F$2:$F$101),B121&lt;=_xlfn.XLOOKUP(I121,Chantiers_Zones!$B$2:$B$101,Chantiers_Zones!$G$2:$G$101)),"OK","HORS PÉRIODE"),"CHANTIER INCONNU"))</f>
        <v/>
      </c>
      <c r="T121" s="9">
        <f>IF(COUNTA(A121:D121,F121,I121,K121:O121)=0,"",IF(M121="Annulée","OK",IF(OR(A121="",B121="",C121="",D121="",F121="",I121="",K121="",L121="",M121=""),"INCOMPLET",IF(D121&lt;=C121,"HORAIRES INVALIDES",IF(OR(C121&lt;Paramètres!$B$3,D121&gt;Paramètres!$B$4),"HORS PLAGE",IF(P121&lt;&gt;"OK",P121,IF(Q121&lt;&gt;"OK",Q121,IF(R121&lt;&gt;"OK",R121,IF(S121&lt;&gt;"OK",S121,"OK")))))))))</f>
        <v/>
      </c>
    </row>
    <row r="122">
      <c r="A122" s="12" t="n"/>
      <c r="B122" s="24" t="n"/>
      <c r="C122" s="25" t="n"/>
      <c r="D122" s="25" t="n"/>
      <c r="E122" s="15">
        <f>IF(OR(C122="",D122=""),"",IF(D122&gt;C122,(D122-C122)*24,""))</f>
        <v/>
      </c>
      <c r="F122" s="12" t="n"/>
      <c r="G122" s="16">
        <f>IF(F122="","",IFERROR(_xlfn.XLOOKUP(F122,Intervenants!$A$2:$A$101,Intervenants!$B$2:$B$101),"ID inconnu"))</f>
        <v/>
      </c>
      <c r="H122" s="16">
        <f>IF(F122="","",IFERROR(_xlfn.XLOOKUP(F122,Intervenants!$A$2:$A$101,Intervenants!$C$2:$C$101),"ID inconnu"))</f>
        <v/>
      </c>
      <c r="I122" s="12" t="n"/>
      <c r="J122" s="16">
        <f>IF(I122="","",IFERROR(_xlfn.XLOOKUP(I122,Chantiers_Zones!$B$2:$B$101,Chantiers_Zones!$C$2:$C$101),"CHANTIER INCONNU"))</f>
        <v/>
      </c>
      <c r="K122" s="12" t="n"/>
      <c r="L122" s="12" t="n"/>
      <c r="M122" s="8" t="n"/>
      <c r="N122" s="8" t="n"/>
      <c r="O122" s="17" t="n"/>
      <c r="P122" s="9">
        <f>IF(M122="Annulée","OK",IF(OR(B122="",C122="",D122="",F122=""),"",IF(COUNTIFS($F$7:$F$206,F122,$B$7:$B$206,B122,$C$7:$C$206,"&lt;"&amp;D122,$D$7:$D$206,"&gt;"&amp;C122,$M$7:$M$206,"&lt;&gt;Annulée")&gt;1,"DOUBLE RÉSERVATION","OK")))</f>
        <v/>
      </c>
      <c r="Q122" s="9">
        <f>IF(M122="Annulée","OK",IF(OR(B122="",C122="",D122="",F122=""),"",IF(SUMPRODUCT((Indisponibilités!$A$2:$A$101=F122)*((Indisponibilités!$B$2:$B$101+Indisponibilités!$C$2:$C$101)&lt;(B122+D122))*((Indisponibilités!$D$2:$D$101+Indisponibilités!$E$2:$E$101)&gt;(B122+C122)))&gt;0,"INDISPONIBLE","OK")))</f>
        <v/>
      </c>
      <c r="R122" s="9">
        <f>IF(OR(I122="",K122=""),"",IF(COUNTIFS(Chantiers_Zones!$B$2:$B$101,I122,Chantiers_Zones!$D$2:$D$101,K122,Chantiers_Zones!$E$2:$E$101,"Oui")&gt;0,"OK","ZONE INVALIDE"))</f>
        <v/>
      </c>
      <c r="S122" s="9">
        <f>IF(OR(B122="",I122=""),"",IFERROR(IF(AND(B122&gt;=_xlfn.XLOOKUP(I122,Chantiers_Zones!$B$2:$B$101,Chantiers_Zones!$F$2:$F$101),B122&lt;=_xlfn.XLOOKUP(I122,Chantiers_Zones!$B$2:$B$101,Chantiers_Zones!$G$2:$G$101)),"OK","HORS PÉRIODE"),"CHANTIER INCONNU"))</f>
        <v/>
      </c>
      <c r="T122" s="9">
        <f>IF(COUNTA(A122:D122,F122,I122,K122:O122)=0,"",IF(M122="Annulée","OK",IF(OR(A122="",B122="",C122="",D122="",F122="",I122="",K122="",L122="",M122=""),"INCOMPLET",IF(D122&lt;=C122,"HORAIRES INVALIDES",IF(OR(C122&lt;Paramètres!$B$3,D122&gt;Paramètres!$B$4),"HORS PLAGE",IF(P122&lt;&gt;"OK",P122,IF(Q122&lt;&gt;"OK",Q122,IF(R122&lt;&gt;"OK",R122,IF(S122&lt;&gt;"OK",S122,"OK")))))))))</f>
        <v/>
      </c>
    </row>
    <row r="123">
      <c r="A123" s="12" t="n"/>
      <c r="B123" s="24" t="n"/>
      <c r="C123" s="25" t="n"/>
      <c r="D123" s="25" t="n"/>
      <c r="E123" s="15">
        <f>IF(OR(C123="",D123=""),"",IF(D123&gt;C123,(D123-C123)*24,""))</f>
        <v/>
      </c>
      <c r="F123" s="12" t="n"/>
      <c r="G123" s="16">
        <f>IF(F123="","",IFERROR(_xlfn.XLOOKUP(F123,Intervenants!$A$2:$A$101,Intervenants!$B$2:$B$101),"ID inconnu"))</f>
        <v/>
      </c>
      <c r="H123" s="16">
        <f>IF(F123="","",IFERROR(_xlfn.XLOOKUP(F123,Intervenants!$A$2:$A$101,Intervenants!$C$2:$C$101),"ID inconnu"))</f>
        <v/>
      </c>
      <c r="I123" s="12" t="n"/>
      <c r="J123" s="16">
        <f>IF(I123="","",IFERROR(_xlfn.XLOOKUP(I123,Chantiers_Zones!$B$2:$B$101,Chantiers_Zones!$C$2:$C$101),"CHANTIER INCONNU"))</f>
        <v/>
      </c>
      <c r="K123" s="12" t="n"/>
      <c r="L123" s="12" t="n"/>
      <c r="M123" s="8" t="n"/>
      <c r="N123" s="8" t="n"/>
      <c r="O123" s="17" t="n"/>
      <c r="P123" s="9">
        <f>IF(M123="Annulée","OK",IF(OR(B123="",C123="",D123="",F123=""),"",IF(COUNTIFS($F$7:$F$206,F123,$B$7:$B$206,B123,$C$7:$C$206,"&lt;"&amp;D123,$D$7:$D$206,"&gt;"&amp;C123,$M$7:$M$206,"&lt;&gt;Annulée")&gt;1,"DOUBLE RÉSERVATION","OK")))</f>
        <v/>
      </c>
      <c r="Q123" s="9">
        <f>IF(M123="Annulée","OK",IF(OR(B123="",C123="",D123="",F123=""),"",IF(SUMPRODUCT((Indisponibilités!$A$2:$A$101=F123)*((Indisponibilités!$B$2:$B$101+Indisponibilités!$C$2:$C$101)&lt;(B123+D123))*((Indisponibilités!$D$2:$D$101+Indisponibilités!$E$2:$E$101)&gt;(B123+C123)))&gt;0,"INDISPONIBLE","OK")))</f>
        <v/>
      </c>
      <c r="R123" s="9">
        <f>IF(OR(I123="",K123=""),"",IF(COUNTIFS(Chantiers_Zones!$B$2:$B$101,I123,Chantiers_Zones!$D$2:$D$101,K123,Chantiers_Zones!$E$2:$E$101,"Oui")&gt;0,"OK","ZONE INVALIDE"))</f>
        <v/>
      </c>
      <c r="S123" s="9">
        <f>IF(OR(B123="",I123=""),"",IFERROR(IF(AND(B123&gt;=_xlfn.XLOOKUP(I123,Chantiers_Zones!$B$2:$B$101,Chantiers_Zones!$F$2:$F$101),B123&lt;=_xlfn.XLOOKUP(I123,Chantiers_Zones!$B$2:$B$101,Chantiers_Zones!$G$2:$G$101)),"OK","HORS PÉRIODE"),"CHANTIER INCONNU"))</f>
        <v/>
      </c>
      <c r="T123" s="9">
        <f>IF(COUNTA(A123:D123,F123,I123,K123:O123)=0,"",IF(M123="Annulée","OK",IF(OR(A123="",B123="",C123="",D123="",F123="",I123="",K123="",L123="",M123=""),"INCOMPLET",IF(D123&lt;=C123,"HORAIRES INVALIDES",IF(OR(C123&lt;Paramètres!$B$3,D123&gt;Paramètres!$B$4),"HORS PLAGE",IF(P123&lt;&gt;"OK",P123,IF(Q123&lt;&gt;"OK",Q123,IF(R123&lt;&gt;"OK",R123,IF(S123&lt;&gt;"OK",S123,"OK")))))))))</f>
        <v/>
      </c>
    </row>
    <row r="124">
      <c r="A124" s="12" t="n"/>
      <c r="B124" s="24" t="n"/>
      <c r="C124" s="25" t="n"/>
      <c r="D124" s="25" t="n"/>
      <c r="E124" s="15">
        <f>IF(OR(C124="",D124=""),"",IF(D124&gt;C124,(D124-C124)*24,""))</f>
        <v/>
      </c>
      <c r="F124" s="12" t="n"/>
      <c r="G124" s="16">
        <f>IF(F124="","",IFERROR(_xlfn.XLOOKUP(F124,Intervenants!$A$2:$A$101,Intervenants!$B$2:$B$101),"ID inconnu"))</f>
        <v/>
      </c>
      <c r="H124" s="16">
        <f>IF(F124="","",IFERROR(_xlfn.XLOOKUP(F124,Intervenants!$A$2:$A$101,Intervenants!$C$2:$C$101),"ID inconnu"))</f>
        <v/>
      </c>
      <c r="I124" s="12" t="n"/>
      <c r="J124" s="16">
        <f>IF(I124="","",IFERROR(_xlfn.XLOOKUP(I124,Chantiers_Zones!$B$2:$B$101,Chantiers_Zones!$C$2:$C$101),"CHANTIER INCONNU"))</f>
        <v/>
      </c>
      <c r="K124" s="12" t="n"/>
      <c r="L124" s="12" t="n"/>
      <c r="M124" s="8" t="n"/>
      <c r="N124" s="8" t="n"/>
      <c r="O124" s="17" t="n"/>
      <c r="P124" s="9">
        <f>IF(M124="Annulée","OK",IF(OR(B124="",C124="",D124="",F124=""),"",IF(COUNTIFS($F$7:$F$206,F124,$B$7:$B$206,B124,$C$7:$C$206,"&lt;"&amp;D124,$D$7:$D$206,"&gt;"&amp;C124,$M$7:$M$206,"&lt;&gt;Annulée")&gt;1,"DOUBLE RÉSERVATION","OK")))</f>
        <v/>
      </c>
      <c r="Q124" s="9">
        <f>IF(M124="Annulée","OK",IF(OR(B124="",C124="",D124="",F124=""),"",IF(SUMPRODUCT((Indisponibilités!$A$2:$A$101=F124)*((Indisponibilités!$B$2:$B$101+Indisponibilités!$C$2:$C$101)&lt;(B124+D124))*((Indisponibilités!$D$2:$D$101+Indisponibilités!$E$2:$E$101)&gt;(B124+C124)))&gt;0,"INDISPONIBLE","OK")))</f>
        <v/>
      </c>
      <c r="R124" s="9">
        <f>IF(OR(I124="",K124=""),"",IF(COUNTIFS(Chantiers_Zones!$B$2:$B$101,I124,Chantiers_Zones!$D$2:$D$101,K124,Chantiers_Zones!$E$2:$E$101,"Oui")&gt;0,"OK","ZONE INVALIDE"))</f>
        <v/>
      </c>
      <c r="S124" s="9">
        <f>IF(OR(B124="",I124=""),"",IFERROR(IF(AND(B124&gt;=_xlfn.XLOOKUP(I124,Chantiers_Zones!$B$2:$B$101,Chantiers_Zones!$F$2:$F$101),B124&lt;=_xlfn.XLOOKUP(I124,Chantiers_Zones!$B$2:$B$101,Chantiers_Zones!$G$2:$G$101)),"OK","HORS PÉRIODE"),"CHANTIER INCONNU"))</f>
        <v/>
      </c>
      <c r="T124" s="9">
        <f>IF(COUNTA(A124:D124,F124,I124,K124:O124)=0,"",IF(M124="Annulée","OK",IF(OR(A124="",B124="",C124="",D124="",F124="",I124="",K124="",L124="",M124=""),"INCOMPLET",IF(D124&lt;=C124,"HORAIRES INVALIDES",IF(OR(C124&lt;Paramètres!$B$3,D124&gt;Paramètres!$B$4),"HORS PLAGE",IF(P124&lt;&gt;"OK",P124,IF(Q124&lt;&gt;"OK",Q124,IF(R124&lt;&gt;"OK",R124,IF(S124&lt;&gt;"OK",S124,"OK")))))))))</f>
        <v/>
      </c>
    </row>
    <row r="125">
      <c r="A125" s="12" t="n"/>
      <c r="B125" s="24" t="n"/>
      <c r="C125" s="25" t="n"/>
      <c r="D125" s="25" t="n"/>
      <c r="E125" s="15">
        <f>IF(OR(C125="",D125=""),"",IF(D125&gt;C125,(D125-C125)*24,""))</f>
        <v/>
      </c>
      <c r="F125" s="12" t="n"/>
      <c r="G125" s="16">
        <f>IF(F125="","",IFERROR(_xlfn.XLOOKUP(F125,Intervenants!$A$2:$A$101,Intervenants!$B$2:$B$101),"ID inconnu"))</f>
        <v/>
      </c>
      <c r="H125" s="16">
        <f>IF(F125="","",IFERROR(_xlfn.XLOOKUP(F125,Intervenants!$A$2:$A$101,Intervenants!$C$2:$C$101),"ID inconnu"))</f>
        <v/>
      </c>
      <c r="I125" s="12" t="n"/>
      <c r="J125" s="16">
        <f>IF(I125="","",IFERROR(_xlfn.XLOOKUP(I125,Chantiers_Zones!$B$2:$B$101,Chantiers_Zones!$C$2:$C$101),"CHANTIER INCONNU"))</f>
        <v/>
      </c>
      <c r="K125" s="12" t="n"/>
      <c r="L125" s="12" t="n"/>
      <c r="M125" s="8" t="n"/>
      <c r="N125" s="8" t="n"/>
      <c r="O125" s="17" t="n"/>
      <c r="P125" s="9">
        <f>IF(M125="Annulée","OK",IF(OR(B125="",C125="",D125="",F125=""),"",IF(COUNTIFS($F$7:$F$206,F125,$B$7:$B$206,B125,$C$7:$C$206,"&lt;"&amp;D125,$D$7:$D$206,"&gt;"&amp;C125,$M$7:$M$206,"&lt;&gt;Annulée")&gt;1,"DOUBLE RÉSERVATION","OK")))</f>
        <v/>
      </c>
      <c r="Q125" s="9">
        <f>IF(M125="Annulée","OK",IF(OR(B125="",C125="",D125="",F125=""),"",IF(SUMPRODUCT((Indisponibilités!$A$2:$A$101=F125)*((Indisponibilités!$B$2:$B$101+Indisponibilités!$C$2:$C$101)&lt;(B125+D125))*((Indisponibilités!$D$2:$D$101+Indisponibilités!$E$2:$E$101)&gt;(B125+C125)))&gt;0,"INDISPONIBLE","OK")))</f>
        <v/>
      </c>
      <c r="R125" s="9">
        <f>IF(OR(I125="",K125=""),"",IF(COUNTIFS(Chantiers_Zones!$B$2:$B$101,I125,Chantiers_Zones!$D$2:$D$101,K125,Chantiers_Zones!$E$2:$E$101,"Oui")&gt;0,"OK","ZONE INVALIDE"))</f>
        <v/>
      </c>
      <c r="S125" s="9">
        <f>IF(OR(B125="",I125=""),"",IFERROR(IF(AND(B125&gt;=_xlfn.XLOOKUP(I125,Chantiers_Zones!$B$2:$B$101,Chantiers_Zones!$F$2:$F$101),B125&lt;=_xlfn.XLOOKUP(I125,Chantiers_Zones!$B$2:$B$101,Chantiers_Zones!$G$2:$G$101)),"OK","HORS PÉRIODE"),"CHANTIER INCONNU"))</f>
        <v/>
      </c>
      <c r="T125" s="9">
        <f>IF(COUNTA(A125:D125,F125,I125,K125:O125)=0,"",IF(M125="Annulée","OK",IF(OR(A125="",B125="",C125="",D125="",F125="",I125="",K125="",L125="",M125=""),"INCOMPLET",IF(D125&lt;=C125,"HORAIRES INVALIDES",IF(OR(C125&lt;Paramètres!$B$3,D125&gt;Paramètres!$B$4),"HORS PLAGE",IF(P125&lt;&gt;"OK",P125,IF(Q125&lt;&gt;"OK",Q125,IF(R125&lt;&gt;"OK",R125,IF(S125&lt;&gt;"OK",S125,"OK")))))))))</f>
        <v/>
      </c>
    </row>
    <row r="126">
      <c r="A126" s="12" t="n"/>
      <c r="B126" s="24" t="n"/>
      <c r="C126" s="25" t="n"/>
      <c r="D126" s="25" t="n"/>
      <c r="E126" s="15">
        <f>IF(OR(C126="",D126=""),"",IF(D126&gt;C126,(D126-C126)*24,""))</f>
        <v/>
      </c>
      <c r="F126" s="12" t="n"/>
      <c r="G126" s="16">
        <f>IF(F126="","",IFERROR(_xlfn.XLOOKUP(F126,Intervenants!$A$2:$A$101,Intervenants!$B$2:$B$101),"ID inconnu"))</f>
        <v/>
      </c>
      <c r="H126" s="16">
        <f>IF(F126="","",IFERROR(_xlfn.XLOOKUP(F126,Intervenants!$A$2:$A$101,Intervenants!$C$2:$C$101),"ID inconnu"))</f>
        <v/>
      </c>
      <c r="I126" s="12" t="n"/>
      <c r="J126" s="16">
        <f>IF(I126="","",IFERROR(_xlfn.XLOOKUP(I126,Chantiers_Zones!$B$2:$B$101,Chantiers_Zones!$C$2:$C$101),"CHANTIER INCONNU"))</f>
        <v/>
      </c>
      <c r="K126" s="12" t="n"/>
      <c r="L126" s="12" t="n"/>
      <c r="M126" s="8" t="n"/>
      <c r="N126" s="8" t="n"/>
      <c r="O126" s="17" t="n"/>
      <c r="P126" s="9">
        <f>IF(M126="Annulée","OK",IF(OR(B126="",C126="",D126="",F126=""),"",IF(COUNTIFS($F$7:$F$206,F126,$B$7:$B$206,B126,$C$7:$C$206,"&lt;"&amp;D126,$D$7:$D$206,"&gt;"&amp;C126,$M$7:$M$206,"&lt;&gt;Annulée")&gt;1,"DOUBLE RÉSERVATION","OK")))</f>
        <v/>
      </c>
      <c r="Q126" s="9">
        <f>IF(M126="Annulée","OK",IF(OR(B126="",C126="",D126="",F126=""),"",IF(SUMPRODUCT((Indisponibilités!$A$2:$A$101=F126)*((Indisponibilités!$B$2:$B$101+Indisponibilités!$C$2:$C$101)&lt;(B126+D126))*((Indisponibilités!$D$2:$D$101+Indisponibilités!$E$2:$E$101)&gt;(B126+C126)))&gt;0,"INDISPONIBLE","OK")))</f>
        <v/>
      </c>
      <c r="R126" s="9">
        <f>IF(OR(I126="",K126=""),"",IF(COUNTIFS(Chantiers_Zones!$B$2:$B$101,I126,Chantiers_Zones!$D$2:$D$101,K126,Chantiers_Zones!$E$2:$E$101,"Oui")&gt;0,"OK","ZONE INVALIDE"))</f>
        <v/>
      </c>
      <c r="S126" s="9">
        <f>IF(OR(B126="",I126=""),"",IFERROR(IF(AND(B126&gt;=_xlfn.XLOOKUP(I126,Chantiers_Zones!$B$2:$B$101,Chantiers_Zones!$F$2:$F$101),B126&lt;=_xlfn.XLOOKUP(I126,Chantiers_Zones!$B$2:$B$101,Chantiers_Zones!$G$2:$G$101)),"OK","HORS PÉRIODE"),"CHANTIER INCONNU"))</f>
        <v/>
      </c>
      <c r="T126" s="9">
        <f>IF(COUNTA(A126:D126,F126,I126,K126:O126)=0,"",IF(M126="Annulée","OK",IF(OR(A126="",B126="",C126="",D126="",F126="",I126="",K126="",L126="",M126=""),"INCOMPLET",IF(D126&lt;=C126,"HORAIRES INVALIDES",IF(OR(C126&lt;Paramètres!$B$3,D126&gt;Paramètres!$B$4),"HORS PLAGE",IF(P126&lt;&gt;"OK",P126,IF(Q126&lt;&gt;"OK",Q126,IF(R126&lt;&gt;"OK",R126,IF(S126&lt;&gt;"OK",S126,"OK")))))))))</f>
        <v/>
      </c>
    </row>
    <row r="127">
      <c r="A127" s="12" t="n"/>
      <c r="B127" s="24" t="n"/>
      <c r="C127" s="25" t="n"/>
      <c r="D127" s="25" t="n"/>
      <c r="E127" s="15">
        <f>IF(OR(C127="",D127=""),"",IF(D127&gt;C127,(D127-C127)*24,""))</f>
        <v/>
      </c>
      <c r="F127" s="12" t="n"/>
      <c r="G127" s="16">
        <f>IF(F127="","",IFERROR(_xlfn.XLOOKUP(F127,Intervenants!$A$2:$A$101,Intervenants!$B$2:$B$101),"ID inconnu"))</f>
        <v/>
      </c>
      <c r="H127" s="16">
        <f>IF(F127="","",IFERROR(_xlfn.XLOOKUP(F127,Intervenants!$A$2:$A$101,Intervenants!$C$2:$C$101),"ID inconnu"))</f>
        <v/>
      </c>
      <c r="I127" s="12" t="n"/>
      <c r="J127" s="16">
        <f>IF(I127="","",IFERROR(_xlfn.XLOOKUP(I127,Chantiers_Zones!$B$2:$B$101,Chantiers_Zones!$C$2:$C$101),"CHANTIER INCONNU"))</f>
        <v/>
      </c>
      <c r="K127" s="12" t="n"/>
      <c r="L127" s="12" t="n"/>
      <c r="M127" s="8" t="n"/>
      <c r="N127" s="8" t="n"/>
      <c r="O127" s="17" t="n"/>
      <c r="P127" s="9">
        <f>IF(M127="Annulée","OK",IF(OR(B127="",C127="",D127="",F127=""),"",IF(COUNTIFS($F$7:$F$206,F127,$B$7:$B$206,B127,$C$7:$C$206,"&lt;"&amp;D127,$D$7:$D$206,"&gt;"&amp;C127,$M$7:$M$206,"&lt;&gt;Annulée")&gt;1,"DOUBLE RÉSERVATION","OK")))</f>
        <v/>
      </c>
      <c r="Q127" s="9">
        <f>IF(M127="Annulée","OK",IF(OR(B127="",C127="",D127="",F127=""),"",IF(SUMPRODUCT((Indisponibilités!$A$2:$A$101=F127)*((Indisponibilités!$B$2:$B$101+Indisponibilités!$C$2:$C$101)&lt;(B127+D127))*((Indisponibilités!$D$2:$D$101+Indisponibilités!$E$2:$E$101)&gt;(B127+C127)))&gt;0,"INDISPONIBLE","OK")))</f>
        <v/>
      </c>
      <c r="R127" s="9">
        <f>IF(OR(I127="",K127=""),"",IF(COUNTIFS(Chantiers_Zones!$B$2:$B$101,I127,Chantiers_Zones!$D$2:$D$101,K127,Chantiers_Zones!$E$2:$E$101,"Oui")&gt;0,"OK","ZONE INVALIDE"))</f>
        <v/>
      </c>
      <c r="S127" s="9">
        <f>IF(OR(B127="",I127=""),"",IFERROR(IF(AND(B127&gt;=_xlfn.XLOOKUP(I127,Chantiers_Zones!$B$2:$B$101,Chantiers_Zones!$F$2:$F$101),B127&lt;=_xlfn.XLOOKUP(I127,Chantiers_Zones!$B$2:$B$101,Chantiers_Zones!$G$2:$G$101)),"OK","HORS PÉRIODE"),"CHANTIER INCONNU"))</f>
        <v/>
      </c>
      <c r="T127" s="9">
        <f>IF(COUNTA(A127:D127,F127,I127,K127:O127)=0,"",IF(M127="Annulée","OK",IF(OR(A127="",B127="",C127="",D127="",F127="",I127="",K127="",L127="",M127=""),"INCOMPLET",IF(D127&lt;=C127,"HORAIRES INVALIDES",IF(OR(C127&lt;Paramètres!$B$3,D127&gt;Paramètres!$B$4),"HORS PLAGE",IF(P127&lt;&gt;"OK",P127,IF(Q127&lt;&gt;"OK",Q127,IF(R127&lt;&gt;"OK",R127,IF(S127&lt;&gt;"OK",S127,"OK")))))))))</f>
        <v/>
      </c>
    </row>
    <row r="128">
      <c r="A128" s="12" t="n"/>
      <c r="B128" s="24" t="n"/>
      <c r="C128" s="25" t="n"/>
      <c r="D128" s="25" t="n"/>
      <c r="E128" s="15">
        <f>IF(OR(C128="",D128=""),"",IF(D128&gt;C128,(D128-C128)*24,""))</f>
        <v/>
      </c>
      <c r="F128" s="12" t="n"/>
      <c r="G128" s="16">
        <f>IF(F128="","",IFERROR(_xlfn.XLOOKUP(F128,Intervenants!$A$2:$A$101,Intervenants!$B$2:$B$101),"ID inconnu"))</f>
        <v/>
      </c>
      <c r="H128" s="16">
        <f>IF(F128="","",IFERROR(_xlfn.XLOOKUP(F128,Intervenants!$A$2:$A$101,Intervenants!$C$2:$C$101),"ID inconnu"))</f>
        <v/>
      </c>
      <c r="I128" s="12" t="n"/>
      <c r="J128" s="16">
        <f>IF(I128="","",IFERROR(_xlfn.XLOOKUP(I128,Chantiers_Zones!$B$2:$B$101,Chantiers_Zones!$C$2:$C$101),"CHANTIER INCONNU"))</f>
        <v/>
      </c>
      <c r="K128" s="12" t="n"/>
      <c r="L128" s="12" t="n"/>
      <c r="M128" s="8" t="n"/>
      <c r="N128" s="8" t="n"/>
      <c r="O128" s="17" t="n"/>
      <c r="P128" s="9">
        <f>IF(M128="Annulée","OK",IF(OR(B128="",C128="",D128="",F128=""),"",IF(COUNTIFS($F$7:$F$206,F128,$B$7:$B$206,B128,$C$7:$C$206,"&lt;"&amp;D128,$D$7:$D$206,"&gt;"&amp;C128,$M$7:$M$206,"&lt;&gt;Annulée")&gt;1,"DOUBLE RÉSERVATION","OK")))</f>
        <v/>
      </c>
      <c r="Q128" s="9">
        <f>IF(M128="Annulée","OK",IF(OR(B128="",C128="",D128="",F128=""),"",IF(SUMPRODUCT((Indisponibilités!$A$2:$A$101=F128)*((Indisponibilités!$B$2:$B$101+Indisponibilités!$C$2:$C$101)&lt;(B128+D128))*((Indisponibilités!$D$2:$D$101+Indisponibilités!$E$2:$E$101)&gt;(B128+C128)))&gt;0,"INDISPONIBLE","OK")))</f>
        <v/>
      </c>
      <c r="R128" s="9">
        <f>IF(OR(I128="",K128=""),"",IF(COUNTIFS(Chantiers_Zones!$B$2:$B$101,I128,Chantiers_Zones!$D$2:$D$101,K128,Chantiers_Zones!$E$2:$E$101,"Oui")&gt;0,"OK","ZONE INVALIDE"))</f>
        <v/>
      </c>
      <c r="S128" s="9">
        <f>IF(OR(B128="",I128=""),"",IFERROR(IF(AND(B128&gt;=_xlfn.XLOOKUP(I128,Chantiers_Zones!$B$2:$B$101,Chantiers_Zones!$F$2:$F$101),B128&lt;=_xlfn.XLOOKUP(I128,Chantiers_Zones!$B$2:$B$101,Chantiers_Zones!$G$2:$G$101)),"OK","HORS PÉRIODE"),"CHANTIER INCONNU"))</f>
        <v/>
      </c>
      <c r="T128" s="9">
        <f>IF(COUNTA(A128:D128,F128,I128,K128:O128)=0,"",IF(M128="Annulée","OK",IF(OR(A128="",B128="",C128="",D128="",F128="",I128="",K128="",L128="",M128=""),"INCOMPLET",IF(D128&lt;=C128,"HORAIRES INVALIDES",IF(OR(C128&lt;Paramètres!$B$3,D128&gt;Paramètres!$B$4),"HORS PLAGE",IF(P128&lt;&gt;"OK",P128,IF(Q128&lt;&gt;"OK",Q128,IF(R128&lt;&gt;"OK",R128,IF(S128&lt;&gt;"OK",S128,"OK")))))))))</f>
        <v/>
      </c>
    </row>
    <row r="129">
      <c r="A129" s="12" t="n"/>
      <c r="B129" s="24" t="n"/>
      <c r="C129" s="25" t="n"/>
      <c r="D129" s="25" t="n"/>
      <c r="E129" s="15">
        <f>IF(OR(C129="",D129=""),"",IF(D129&gt;C129,(D129-C129)*24,""))</f>
        <v/>
      </c>
      <c r="F129" s="12" t="n"/>
      <c r="G129" s="16">
        <f>IF(F129="","",IFERROR(_xlfn.XLOOKUP(F129,Intervenants!$A$2:$A$101,Intervenants!$B$2:$B$101),"ID inconnu"))</f>
        <v/>
      </c>
      <c r="H129" s="16">
        <f>IF(F129="","",IFERROR(_xlfn.XLOOKUP(F129,Intervenants!$A$2:$A$101,Intervenants!$C$2:$C$101),"ID inconnu"))</f>
        <v/>
      </c>
      <c r="I129" s="12" t="n"/>
      <c r="J129" s="16">
        <f>IF(I129="","",IFERROR(_xlfn.XLOOKUP(I129,Chantiers_Zones!$B$2:$B$101,Chantiers_Zones!$C$2:$C$101),"CHANTIER INCONNU"))</f>
        <v/>
      </c>
      <c r="K129" s="12" t="n"/>
      <c r="L129" s="12" t="n"/>
      <c r="M129" s="8" t="n"/>
      <c r="N129" s="8" t="n"/>
      <c r="O129" s="17" t="n"/>
      <c r="P129" s="9">
        <f>IF(M129="Annulée","OK",IF(OR(B129="",C129="",D129="",F129=""),"",IF(COUNTIFS($F$7:$F$206,F129,$B$7:$B$206,B129,$C$7:$C$206,"&lt;"&amp;D129,$D$7:$D$206,"&gt;"&amp;C129,$M$7:$M$206,"&lt;&gt;Annulée")&gt;1,"DOUBLE RÉSERVATION","OK")))</f>
        <v/>
      </c>
      <c r="Q129" s="9">
        <f>IF(M129="Annulée","OK",IF(OR(B129="",C129="",D129="",F129=""),"",IF(SUMPRODUCT((Indisponibilités!$A$2:$A$101=F129)*((Indisponibilités!$B$2:$B$101+Indisponibilités!$C$2:$C$101)&lt;(B129+D129))*((Indisponibilités!$D$2:$D$101+Indisponibilités!$E$2:$E$101)&gt;(B129+C129)))&gt;0,"INDISPONIBLE","OK")))</f>
        <v/>
      </c>
      <c r="R129" s="9">
        <f>IF(OR(I129="",K129=""),"",IF(COUNTIFS(Chantiers_Zones!$B$2:$B$101,I129,Chantiers_Zones!$D$2:$D$101,K129,Chantiers_Zones!$E$2:$E$101,"Oui")&gt;0,"OK","ZONE INVALIDE"))</f>
        <v/>
      </c>
      <c r="S129" s="9">
        <f>IF(OR(B129="",I129=""),"",IFERROR(IF(AND(B129&gt;=_xlfn.XLOOKUP(I129,Chantiers_Zones!$B$2:$B$101,Chantiers_Zones!$F$2:$F$101),B129&lt;=_xlfn.XLOOKUP(I129,Chantiers_Zones!$B$2:$B$101,Chantiers_Zones!$G$2:$G$101)),"OK","HORS PÉRIODE"),"CHANTIER INCONNU"))</f>
        <v/>
      </c>
      <c r="T129" s="9">
        <f>IF(COUNTA(A129:D129,F129,I129,K129:O129)=0,"",IF(M129="Annulée","OK",IF(OR(A129="",B129="",C129="",D129="",F129="",I129="",K129="",L129="",M129=""),"INCOMPLET",IF(D129&lt;=C129,"HORAIRES INVALIDES",IF(OR(C129&lt;Paramètres!$B$3,D129&gt;Paramètres!$B$4),"HORS PLAGE",IF(P129&lt;&gt;"OK",P129,IF(Q129&lt;&gt;"OK",Q129,IF(R129&lt;&gt;"OK",R129,IF(S129&lt;&gt;"OK",S129,"OK")))))))))</f>
        <v/>
      </c>
    </row>
    <row r="130">
      <c r="A130" s="12" t="n"/>
      <c r="B130" s="24" t="n"/>
      <c r="C130" s="25" t="n"/>
      <c r="D130" s="25" t="n"/>
      <c r="E130" s="15">
        <f>IF(OR(C130="",D130=""),"",IF(D130&gt;C130,(D130-C130)*24,""))</f>
        <v/>
      </c>
      <c r="F130" s="12" t="n"/>
      <c r="G130" s="16">
        <f>IF(F130="","",IFERROR(_xlfn.XLOOKUP(F130,Intervenants!$A$2:$A$101,Intervenants!$B$2:$B$101),"ID inconnu"))</f>
        <v/>
      </c>
      <c r="H130" s="16">
        <f>IF(F130="","",IFERROR(_xlfn.XLOOKUP(F130,Intervenants!$A$2:$A$101,Intervenants!$C$2:$C$101),"ID inconnu"))</f>
        <v/>
      </c>
      <c r="I130" s="12" t="n"/>
      <c r="J130" s="16">
        <f>IF(I130="","",IFERROR(_xlfn.XLOOKUP(I130,Chantiers_Zones!$B$2:$B$101,Chantiers_Zones!$C$2:$C$101),"CHANTIER INCONNU"))</f>
        <v/>
      </c>
      <c r="K130" s="12" t="n"/>
      <c r="L130" s="12" t="n"/>
      <c r="M130" s="8" t="n"/>
      <c r="N130" s="8" t="n"/>
      <c r="O130" s="17" t="n"/>
      <c r="P130" s="9">
        <f>IF(M130="Annulée","OK",IF(OR(B130="",C130="",D130="",F130=""),"",IF(COUNTIFS($F$7:$F$206,F130,$B$7:$B$206,B130,$C$7:$C$206,"&lt;"&amp;D130,$D$7:$D$206,"&gt;"&amp;C130,$M$7:$M$206,"&lt;&gt;Annulée")&gt;1,"DOUBLE RÉSERVATION","OK")))</f>
        <v/>
      </c>
      <c r="Q130" s="9">
        <f>IF(M130="Annulée","OK",IF(OR(B130="",C130="",D130="",F130=""),"",IF(SUMPRODUCT((Indisponibilités!$A$2:$A$101=F130)*((Indisponibilités!$B$2:$B$101+Indisponibilités!$C$2:$C$101)&lt;(B130+D130))*((Indisponibilités!$D$2:$D$101+Indisponibilités!$E$2:$E$101)&gt;(B130+C130)))&gt;0,"INDISPONIBLE","OK")))</f>
        <v/>
      </c>
      <c r="R130" s="9">
        <f>IF(OR(I130="",K130=""),"",IF(COUNTIFS(Chantiers_Zones!$B$2:$B$101,I130,Chantiers_Zones!$D$2:$D$101,K130,Chantiers_Zones!$E$2:$E$101,"Oui")&gt;0,"OK","ZONE INVALIDE"))</f>
        <v/>
      </c>
      <c r="S130" s="9">
        <f>IF(OR(B130="",I130=""),"",IFERROR(IF(AND(B130&gt;=_xlfn.XLOOKUP(I130,Chantiers_Zones!$B$2:$B$101,Chantiers_Zones!$F$2:$F$101),B130&lt;=_xlfn.XLOOKUP(I130,Chantiers_Zones!$B$2:$B$101,Chantiers_Zones!$G$2:$G$101)),"OK","HORS PÉRIODE"),"CHANTIER INCONNU"))</f>
        <v/>
      </c>
      <c r="T130" s="9">
        <f>IF(COUNTA(A130:D130,F130,I130,K130:O130)=0,"",IF(M130="Annulée","OK",IF(OR(A130="",B130="",C130="",D130="",F130="",I130="",K130="",L130="",M130=""),"INCOMPLET",IF(D130&lt;=C130,"HORAIRES INVALIDES",IF(OR(C130&lt;Paramètres!$B$3,D130&gt;Paramètres!$B$4),"HORS PLAGE",IF(P130&lt;&gt;"OK",P130,IF(Q130&lt;&gt;"OK",Q130,IF(R130&lt;&gt;"OK",R130,IF(S130&lt;&gt;"OK",S130,"OK")))))))))</f>
        <v/>
      </c>
    </row>
    <row r="131">
      <c r="A131" s="12" t="n"/>
      <c r="B131" s="24" t="n"/>
      <c r="C131" s="25" t="n"/>
      <c r="D131" s="25" t="n"/>
      <c r="E131" s="15">
        <f>IF(OR(C131="",D131=""),"",IF(D131&gt;C131,(D131-C131)*24,""))</f>
        <v/>
      </c>
      <c r="F131" s="12" t="n"/>
      <c r="G131" s="16">
        <f>IF(F131="","",IFERROR(_xlfn.XLOOKUP(F131,Intervenants!$A$2:$A$101,Intervenants!$B$2:$B$101),"ID inconnu"))</f>
        <v/>
      </c>
      <c r="H131" s="16">
        <f>IF(F131="","",IFERROR(_xlfn.XLOOKUP(F131,Intervenants!$A$2:$A$101,Intervenants!$C$2:$C$101),"ID inconnu"))</f>
        <v/>
      </c>
      <c r="I131" s="12" t="n"/>
      <c r="J131" s="16">
        <f>IF(I131="","",IFERROR(_xlfn.XLOOKUP(I131,Chantiers_Zones!$B$2:$B$101,Chantiers_Zones!$C$2:$C$101),"CHANTIER INCONNU"))</f>
        <v/>
      </c>
      <c r="K131" s="12" t="n"/>
      <c r="L131" s="12" t="n"/>
      <c r="M131" s="8" t="n"/>
      <c r="N131" s="8" t="n"/>
      <c r="O131" s="17" t="n"/>
      <c r="P131" s="9">
        <f>IF(M131="Annulée","OK",IF(OR(B131="",C131="",D131="",F131=""),"",IF(COUNTIFS($F$7:$F$206,F131,$B$7:$B$206,B131,$C$7:$C$206,"&lt;"&amp;D131,$D$7:$D$206,"&gt;"&amp;C131,$M$7:$M$206,"&lt;&gt;Annulée")&gt;1,"DOUBLE RÉSERVATION","OK")))</f>
        <v/>
      </c>
      <c r="Q131" s="9">
        <f>IF(M131="Annulée","OK",IF(OR(B131="",C131="",D131="",F131=""),"",IF(SUMPRODUCT((Indisponibilités!$A$2:$A$101=F131)*((Indisponibilités!$B$2:$B$101+Indisponibilités!$C$2:$C$101)&lt;(B131+D131))*((Indisponibilités!$D$2:$D$101+Indisponibilités!$E$2:$E$101)&gt;(B131+C131)))&gt;0,"INDISPONIBLE","OK")))</f>
        <v/>
      </c>
      <c r="R131" s="9">
        <f>IF(OR(I131="",K131=""),"",IF(COUNTIFS(Chantiers_Zones!$B$2:$B$101,I131,Chantiers_Zones!$D$2:$D$101,K131,Chantiers_Zones!$E$2:$E$101,"Oui")&gt;0,"OK","ZONE INVALIDE"))</f>
        <v/>
      </c>
      <c r="S131" s="9">
        <f>IF(OR(B131="",I131=""),"",IFERROR(IF(AND(B131&gt;=_xlfn.XLOOKUP(I131,Chantiers_Zones!$B$2:$B$101,Chantiers_Zones!$F$2:$F$101),B131&lt;=_xlfn.XLOOKUP(I131,Chantiers_Zones!$B$2:$B$101,Chantiers_Zones!$G$2:$G$101)),"OK","HORS PÉRIODE"),"CHANTIER INCONNU"))</f>
        <v/>
      </c>
      <c r="T131" s="9">
        <f>IF(COUNTA(A131:D131,F131,I131,K131:O131)=0,"",IF(M131="Annulée","OK",IF(OR(A131="",B131="",C131="",D131="",F131="",I131="",K131="",L131="",M131=""),"INCOMPLET",IF(D131&lt;=C131,"HORAIRES INVALIDES",IF(OR(C131&lt;Paramètres!$B$3,D131&gt;Paramètres!$B$4),"HORS PLAGE",IF(P131&lt;&gt;"OK",P131,IF(Q131&lt;&gt;"OK",Q131,IF(R131&lt;&gt;"OK",R131,IF(S131&lt;&gt;"OK",S131,"OK")))))))))</f>
        <v/>
      </c>
    </row>
    <row r="132">
      <c r="A132" s="12" t="n"/>
      <c r="B132" s="24" t="n"/>
      <c r="C132" s="25" t="n"/>
      <c r="D132" s="25" t="n"/>
      <c r="E132" s="15">
        <f>IF(OR(C132="",D132=""),"",IF(D132&gt;C132,(D132-C132)*24,""))</f>
        <v/>
      </c>
      <c r="F132" s="12" t="n"/>
      <c r="G132" s="16">
        <f>IF(F132="","",IFERROR(_xlfn.XLOOKUP(F132,Intervenants!$A$2:$A$101,Intervenants!$B$2:$B$101),"ID inconnu"))</f>
        <v/>
      </c>
      <c r="H132" s="16">
        <f>IF(F132="","",IFERROR(_xlfn.XLOOKUP(F132,Intervenants!$A$2:$A$101,Intervenants!$C$2:$C$101),"ID inconnu"))</f>
        <v/>
      </c>
      <c r="I132" s="12" t="n"/>
      <c r="J132" s="16">
        <f>IF(I132="","",IFERROR(_xlfn.XLOOKUP(I132,Chantiers_Zones!$B$2:$B$101,Chantiers_Zones!$C$2:$C$101),"CHANTIER INCONNU"))</f>
        <v/>
      </c>
      <c r="K132" s="12" t="n"/>
      <c r="L132" s="12" t="n"/>
      <c r="M132" s="8" t="n"/>
      <c r="N132" s="8" t="n"/>
      <c r="O132" s="17" t="n"/>
      <c r="P132" s="9">
        <f>IF(M132="Annulée","OK",IF(OR(B132="",C132="",D132="",F132=""),"",IF(COUNTIFS($F$7:$F$206,F132,$B$7:$B$206,B132,$C$7:$C$206,"&lt;"&amp;D132,$D$7:$D$206,"&gt;"&amp;C132,$M$7:$M$206,"&lt;&gt;Annulée")&gt;1,"DOUBLE RÉSERVATION","OK")))</f>
        <v/>
      </c>
      <c r="Q132" s="9">
        <f>IF(M132="Annulée","OK",IF(OR(B132="",C132="",D132="",F132=""),"",IF(SUMPRODUCT((Indisponibilités!$A$2:$A$101=F132)*((Indisponibilités!$B$2:$B$101+Indisponibilités!$C$2:$C$101)&lt;(B132+D132))*((Indisponibilités!$D$2:$D$101+Indisponibilités!$E$2:$E$101)&gt;(B132+C132)))&gt;0,"INDISPONIBLE","OK")))</f>
        <v/>
      </c>
      <c r="R132" s="9">
        <f>IF(OR(I132="",K132=""),"",IF(COUNTIFS(Chantiers_Zones!$B$2:$B$101,I132,Chantiers_Zones!$D$2:$D$101,K132,Chantiers_Zones!$E$2:$E$101,"Oui")&gt;0,"OK","ZONE INVALIDE"))</f>
        <v/>
      </c>
      <c r="S132" s="9">
        <f>IF(OR(B132="",I132=""),"",IFERROR(IF(AND(B132&gt;=_xlfn.XLOOKUP(I132,Chantiers_Zones!$B$2:$B$101,Chantiers_Zones!$F$2:$F$101),B132&lt;=_xlfn.XLOOKUP(I132,Chantiers_Zones!$B$2:$B$101,Chantiers_Zones!$G$2:$G$101)),"OK","HORS PÉRIODE"),"CHANTIER INCONNU"))</f>
        <v/>
      </c>
      <c r="T132" s="9">
        <f>IF(COUNTA(A132:D132,F132,I132,K132:O132)=0,"",IF(M132="Annulée","OK",IF(OR(A132="",B132="",C132="",D132="",F132="",I132="",K132="",L132="",M132=""),"INCOMPLET",IF(D132&lt;=C132,"HORAIRES INVALIDES",IF(OR(C132&lt;Paramètres!$B$3,D132&gt;Paramètres!$B$4),"HORS PLAGE",IF(P132&lt;&gt;"OK",P132,IF(Q132&lt;&gt;"OK",Q132,IF(R132&lt;&gt;"OK",R132,IF(S132&lt;&gt;"OK",S132,"OK")))))))))</f>
        <v/>
      </c>
    </row>
    <row r="133">
      <c r="A133" s="12" t="n"/>
      <c r="B133" s="24" t="n"/>
      <c r="C133" s="25" t="n"/>
      <c r="D133" s="25" t="n"/>
      <c r="E133" s="15">
        <f>IF(OR(C133="",D133=""),"",IF(D133&gt;C133,(D133-C133)*24,""))</f>
        <v/>
      </c>
      <c r="F133" s="12" t="n"/>
      <c r="G133" s="16">
        <f>IF(F133="","",IFERROR(_xlfn.XLOOKUP(F133,Intervenants!$A$2:$A$101,Intervenants!$B$2:$B$101),"ID inconnu"))</f>
        <v/>
      </c>
      <c r="H133" s="16">
        <f>IF(F133="","",IFERROR(_xlfn.XLOOKUP(F133,Intervenants!$A$2:$A$101,Intervenants!$C$2:$C$101),"ID inconnu"))</f>
        <v/>
      </c>
      <c r="I133" s="12" t="n"/>
      <c r="J133" s="16">
        <f>IF(I133="","",IFERROR(_xlfn.XLOOKUP(I133,Chantiers_Zones!$B$2:$B$101,Chantiers_Zones!$C$2:$C$101),"CHANTIER INCONNU"))</f>
        <v/>
      </c>
      <c r="K133" s="12" t="n"/>
      <c r="L133" s="12" t="n"/>
      <c r="M133" s="8" t="n"/>
      <c r="N133" s="8" t="n"/>
      <c r="O133" s="17" t="n"/>
      <c r="P133" s="9">
        <f>IF(M133="Annulée","OK",IF(OR(B133="",C133="",D133="",F133=""),"",IF(COUNTIFS($F$7:$F$206,F133,$B$7:$B$206,B133,$C$7:$C$206,"&lt;"&amp;D133,$D$7:$D$206,"&gt;"&amp;C133,$M$7:$M$206,"&lt;&gt;Annulée")&gt;1,"DOUBLE RÉSERVATION","OK")))</f>
        <v/>
      </c>
      <c r="Q133" s="9">
        <f>IF(M133="Annulée","OK",IF(OR(B133="",C133="",D133="",F133=""),"",IF(SUMPRODUCT((Indisponibilités!$A$2:$A$101=F133)*((Indisponibilités!$B$2:$B$101+Indisponibilités!$C$2:$C$101)&lt;(B133+D133))*((Indisponibilités!$D$2:$D$101+Indisponibilités!$E$2:$E$101)&gt;(B133+C133)))&gt;0,"INDISPONIBLE","OK")))</f>
        <v/>
      </c>
      <c r="R133" s="9">
        <f>IF(OR(I133="",K133=""),"",IF(COUNTIFS(Chantiers_Zones!$B$2:$B$101,I133,Chantiers_Zones!$D$2:$D$101,K133,Chantiers_Zones!$E$2:$E$101,"Oui")&gt;0,"OK","ZONE INVALIDE"))</f>
        <v/>
      </c>
      <c r="S133" s="9">
        <f>IF(OR(B133="",I133=""),"",IFERROR(IF(AND(B133&gt;=_xlfn.XLOOKUP(I133,Chantiers_Zones!$B$2:$B$101,Chantiers_Zones!$F$2:$F$101),B133&lt;=_xlfn.XLOOKUP(I133,Chantiers_Zones!$B$2:$B$101,Chantiers_Zones!$G$2:$G$101)),"OK","HORS PÉRIODE"),"CHANTIER INCONNU"))</f>
        <v/>
      </c>
      <c r="T133" s="9">
        <f>IF(COUNTA(A133:D133,F133,I133,K133:O133)=0,"",IF(M133="Annulée","OK",IF(OR(A133="",B133="",C133="",D133="",F133="",I133="",K133="",L133="",M133=""),"INCOMPLET",IF(D133&lt;=C133,"HORAIRES INVALIDES",IF(OR(C133&lt;Paramètres!$B$3,D133&gt;Paramètres!$B$4),"HORS PLAGE",IF(P133&lt;&gt;"OK",P133,IF(Q133&lt;&gt;"OK",Q133,IF(R133&lt;&gt;"OK",R133,IF(S133&lt;&gt;"OK",S133,"OK")))))))))</f>
        <v/>
      </c>
    </row>
    <row r="134">
      <c r="A134" s="12" t="n"/>
      <c r="B134" s="24" t="n"/>
      <c r="C134" s="25" t="n"/>
      <c r="D134" s="25" t="n"/>
      <c r="E134" s="15">
        <f>IF(OR(C134="",D134=""),"",IF(D134&gt;C134,(D134-C134)*24,""))</f>
        <v/>
      </c>
      <c r="F134" s="12" t="n"/>
      <c r="G134" s="16">
        <f>IF(F134="","",IFERROR(_xlfn.XLOOKUP(F134,Intervenants!$A$2:$A$101,Intervenants!$B$2:$B$101),"ID inconnu"))</f>
        <v/>
      </c>
      <c r="H134" s="16">
        <f>IF(F134="","",IFERROR(_xlfn.XLOOKUP(F134,Intervenants!$A$2:$A$101,Intervenants!$C$2:$C$101),"ID inconnu"))</f>
        <v/>
      </c>
      <c r="I134" s="12" t="n"/>
      <c r="J134" s="16">
        <f>IF(I134="","",IFERROR(_xlfn.XLOOKUP(I134,Chantiers_Zones!$B$2:$B$101,Chantiers_Zones!$C$2:$C$101),"CHANTIER INCONNU"))</f>
        <v/>
      </c>
      <c r="K134" s="12" t="n"/>
      <c r="L134" s="12" t="n"/>
      <c r="M134" s="8" t="n"/>
      <c r="N134" s="8" t="n"/>
      <c r="O134" s="17" t="n"/>
      <c r="P134" s="9">
        <f>IF(M134="Annulée","OK",IF(OR(B134="",C134="",D134="",F134=""),"",IF(COUNTIFS($F$7:$F$206,F134,$B$7:$B$206,B134,$C$7:$C$206,"&lt;"&amp;D134,$D$7:$D$206,"&gt;"&amp;C134,$M$7:$M$206,"&lt;&gt;Annulée")&gt;1,"DOUBLE RÉSERVATION","OK")))</f>
        <v/>
      </c>
      <c r="Q134" s="9">
        <f>IF(M134="Annulée","OK",IF(OR(B134="",C134="",D134="",F134=""),"",IF(SUMPRODUCT((Indisponibilités!$A$2:$A$101=F134)*((Indisponibilités!$B$2:$B$101+Indisponibilités!$C$2:$C$101)&lt;(B134+D134))*((Indisponibilités!$D$2:$D$101+Indisponibilités!$E$2:$E$101)&gt;(B134+C134)))&gt;0,"INDISPONIBLE","OK")))</f>
        <v/>
      </c>
      <c r="R134" s="9">
        <f>IF(OR(I134="",K134=""),"",IF(COUNTIFS(Chantiers_Zones!$B$2:$B$101,I134,Chantiers_Zones!$D$2:$D$101,K134,Chantiers_Zones!$E$2:$E$101,"Oui")&gt;0,"OK","ZONE INVALIDE"))</f>
        <v/>
      </c>
      <c r="S134" s="9">
        <f>IF(OR(B134="",I134=""),"",IFERROR(IF(AND(B134&gt;=_xlfn.XLOOKUP(I134,Chantiers_Zones!$B$2:$B$101,Chantiers_Zones!$F$2:$F$101),B134&lt;=_xlfn.XLOOKUP(I134,Chantiers_Zones!$B$2:$B$101,Chantiers_Zones!$G$2:$G$101)),"OK","HORS PÉRIODE"),"CHANTIER INCONNU"))</f>
        <v/>
      </c>
      <c r="T134" s="9">
        <f>IF(COUNTA(A134:D134,F134,I134,K134:O134)=0,"",IF(M134="Annulée","OK",IF(OR(A134="",B134="",C134="",D134="",F134="",I134="",K134="",L134="",M134=""),"INCOMPLET",IF(D134&lt;=C134,"HORAIRES INVALIDES",IF(OR(C134&lt;Paramètres!$B$3,D134&gt;Paramètres!$B$4),"HORS PLAGE",IF(P134&lt;&gt;"OK",P134,IF(Q134&lt;&gt;"OK",Q134,IF(R134&lt;&gt;"OK",R134,IF(S134&lt;&gt;"OK",S134,"OK")))))))))</f>
        <v/>
      </c>
    </row>
    <row r="135">
      <c r="A135" s="12" t="n"/>
      <c r="B135" s="24" t="n"/>
      <c r="C135" s="25" t="n"/>
      <c r="D135" s="25" t="n"/>
      <c r="E135" s="15">
        <f>IF(OR(C135="",D135=""),"",IF(D135&gt;C135,(D135-C135)*24,""))</f>
        <v/>
      </c>
      <c r="F135" s="12" t="n"/>
      <c r="G135" s="16">
        <f>IF(F135="","",IFERROR(_xlfn.XLOOKUP(F135,Intervenants!$A$2:$A$101,Intervenants!$B$2:$B$101),"ID inconnu"))</f>
        <v/>
      </c>
      <c r="H135" s="16">
        <f>IF(F135="","",IFERROR(_xlfn.XLOOKUP(F135,Intervenants!$A$2:$A$101,Intervenants!$C$2:$C$101),"ID inconnu"))</f>
        <v/>
      </c>
      <c r="I135" s="12" t="n"/>
      <c r="J135" s="16">
        <f>IF(I135="","",IFERROR(_xlfn.XLOOKUP(I135,Chantiers_Zones!$B$2:$B$101,Chantiers_Zones!$C$2:$C$101),"CHANTIER INCONNU"))</f>
        <v/>
      </c>
      <c r="K135" s="12" t="n"/>
      <c r="L135" s="12" t="n"/>
      <c r="M135" s="8" t="n"/>
      <c r="N135" s="8" t="n"/>
      <c r="O135" s="17" t="n"/>
      <c r="P135" s="9">
        <f>IF(M135="Annulée","OK",IF(OR(B135="",C135="",D135="",F135=""),"",IF(COUNTIFS($F$7:$F$206,F135,$B$7:$B$206,B135,$C$7:$C$206,"&lt;"&amp;D135,$D$7:$D$206,"&gt;"&amp;C135,$M$7:$M$206,"&lt;&gt;Annulée")&gt;1,"DOUBLE RÉSERVATION","OK")))</f>
        <v/>
      </c>
      <c r="Q135" s="9">
        <f>IF(M135="Annulée","OK",IF(OR(B135="",C135="",D135="",F135=""),"",IF(SUMPRODUCT((Indisponibilités!$A$2:$A$101=F135)*((Indisponibilités!$B$2:$B$101+Indisponibilités!$C$2:$C$101)&lt;(B135+D135))*((Indisponibilités!$D$2:$D$101+Indisponibilités!$E$2:$E$101)&gt;(B135+C135)))&gt;0,"INDISPONIBLE","OK")))</f>
        <v/>
      </c>
      <c r="R135" s="9">
        <f>IF(OR(I135="",K135=""),"",IF(COUNTIFS(Chantiers_Zones!$B$2:$B$101,I135,Chantiers_Zones!$D$2:$D$101,K135,Chantiers_Zones!$E$2:$E$101,"Oui")&gt;0,"OK","ZONE INVALIDE"))</f>
        <v/>
      </c>
      <c r="S135" s="9">
        <f>IF(OR(B135="",I135=""),"",IFERROR(IF(AND(B135&gt;=_xlfn.XLOOKUP(I135,Chantiers_Zones!$B$2:$B$101,Chantiers_Zones!$F$2:$F$101),B135&lt;=_xlfn.XLOOKUP(I135,Chantiers_Zones!$B$2:$B$101,Chantiers_Zones!$G$2:$G$101)),"OK","HORS PÉRIODE"),"CHANTIER INCONNU"))</f>
        <v/>
      </c>
      <c r="T135" s="9">
        <f>IF(COUNTA(A135:D135,F135,I135,K135:O135)=0,"",IF(M135="Annulée","OK",IF(OR(A135="",B135="",C135="",D135="",F135="",I135="",K135="",L135="",M135=""),"INCOMPLET",IF(D135&lt;=C135,"HORAIRES INVALIDES",IF(OR(C135&lt;Paramètres!$B$3,D135&gt;Paramètres!$B$4),"HORS PLAGE",IF(P135&lt;&gt;"OK",P135,IF(Q135&lt;&gt;"OK",Q135,IF(R135&lt;&gt;"OK",R135,IF(S135&lt;&gt;"OK",S135,"OK")))))))))</f>
        <v/>
      </c>
    </row>
    <row r="136">
      <c r="A136" s="12" t="n"/>
      <c r="B136" s="24" t="n"/>
      <c r="C136" s="25" t="n"/>
      <c r="D136" s="25" t="n"/>
      <c r="E136" s="15">
        <f>IF(OR(C136="",D136=""),"",IF(D136&gt;C136,(D136-C136)*24,""))</f>
        <v/>
      </c>
      <c r="F136" s="12" t="n"/>
      <c r="G136" s="16">
        <f>IF(F136="","",IFERROR(_xlfn.XLOOKUP(F136,Intervenants!$A$2:$A$101,Intervenants!$B$2:$B$101),"ID inconnu"))</f>
        <v/>
      </c>
      <c r="H136" s="16">
        <f>IF(F136="","",IFERROR(_xlfn.XLOOKUP(F136,Intervenants!$A$2:$A$101,Intervenants!$C$2:$C$101),"ID inconnu"))</f>
        <v/>
      </c>
      <c r="I136" s="12" t="n"/>
      <c r="J136" s="16">
        <f>IF(I136="","",IFERROR(_xlfn.XLOOKUP(I136,Chantiers_Zones!$B$2:$B$101,Chantiers_Zones!$C$2:$C$101),"CHANTIER INCONNU"))</f>
        <v/>
      </c>
      <c r="K136" s="12" t="n"/>
      <c r="L136" s="12" t="n"/>
      <c r="M136" s="8" t="n"/>
      <c r="N136" s="8" t="n"/>
      <c r="O136" s="17" t="n"/>
      <c r="P136" s="9">
        <f>IF(M136="Annulée","OK",IF(OR(B136="",C136="",D136="",F136=""),"",IF(COUNTIFS($F$7:$F$206,F136,$B$7:$B$206,B136,$C$7:$C$206,"&lt;"&amp;D136,$D$7:$D$206,"&gt;"&amp;C136,$M$7:$M$206,"&lt;&gt;Annulée")&gt;1,"DOUBLE RÉSERVATION","OK")))</f>
        <v/>
      </c>
      <c r="Q136" s="9">
        <f>IF(M136="Annulée","OK",IF(OR(B136="",C136="",D136="",F136=""),"",IF(SUMPRODUCT((Indisponibilités!$A$2:$A$101=F136)*((Indisponibilités!$B$2:$B$101+Indisponibilités!$C$2:$C$101)&lt;(B136+D136))*((Indisponibilités!$D$2:$D$101+Indisponibilités!$E$2:$E$101)&gt;(B136+C136)))&gt;0,"INDISPONIBLE","OK")))</f>
        <v/>
      </c>
      <c r="R136" s="9">
        <f>IF(OR(I136="",K136=""),"",IF(COUNTIFS(Chantiers_Zones!$B$2:$B$101,I136,Chantiers_Zones!$D$2:$D$101,K136,Chantiers_Zones!$E$2:$E$101,"Oui")&gt;0,"OK","ZONE INVALIDE"))</f>
        <v/>
      </c>
      <c r="S136" s="9">
        <f>IF(OR(B136="",I136=""),"",IFERROR(IF(AND(B136&gt;=_xlfn.XLOOKUP(I136,Chantiers_Zones!$B$2:$B$101,Chantiers_Zones!$F$2:$F$101),B136&lt;=_xlfn.XLOOKUP(I136,Chantiers_Zones!$B$2:$B$101,Chantiers_Zones!$G$2:$G$101)),"OK","HORS PÉRIODE"),"CHANTIER INCONNU"))</f>
        <v/>
      </c>
      <c r="T136" s="9">
        <f>IF(COUNTA(A136:D136,F136,I136,K136:O136)=0,"",IF(M136="Annulée","OK",IF(OR(A136="",B136="",C136="",D136="",F136="",I136="",K136="",L136="",M136=""),"INCOMPLET",IF(D136&lt;=C136,"HORAIRES INVALIDES",IF(OR(C136&lt;Paramètres!$B$3,D136&gt;Paramètres!$B$4),"HORS PLAGE",IF(P136&lt;&gt;"OK",P136,IF(Q136&lt;&gt;"OK",Q136,IF(R136&lt;&gt;"OK",R136,IF(S136&lt;&gt;"OK",S136,"OK")))))))))</f>
        <v/>
      </c>
    </row>
    <row r="137">
      <c r="A137" s="12" t="n"/>
      <c r="B137" s="24" t="n"/>
      <c r="C137" s="25" t="n"/>
      <c r="D137" s="25" t="n"/>
      <c r="E137" s="15">
        <f>IF(OR(C137="",D137=""),"",IF(D137&gt;C137,(D137-C137)*24,""))</f>
        <v/>
      </c>
      <c r="F137" s="12" t="n"/>
      <c r="G137" s="16">
        <f>IF(F137="","",IFERROR(_xlfn.XLOOKUP(F137,Intervenants!$A$2:$A$101,Intervenants!$B$2:$B$101),"ID inconnu"))</f>
        <v/>
      </c>
      <c r="H137" s="16">
        <f>IF(F137="","",IFERROR(_xlfn.XLOOKUP(F137,Intervenants!$A$2:$A$101,Intervenants!$C$2:$C$101),"ID inconnu"))</f>
        <v/>
      </c>
      <c r="I137" s="12" t="n"/>
      <c r="J137" s="16">
        <f>IF(I137="","",IFERROR(_xlfn.XLOOKUP(I137,Chantiers_Zones!$B$2:$B$101,Chantiers_Zones!$C$2:$C$101),"CHANTIER INCONNU"))</f>
        <v/>
      </c>
      <c r="K137" s="12" t="n"/>
      <c r="L137" s="12" t="n"/>
      <c r="M137" s="8" t="n"/>
      <c r="N137" s="8" t="n"/>
      <c r="O137" s="17" t="n"/>
      <c r="P137" s="9">
        <f>IF(M137="Annulée","OK",IF(OR(B137="",C137="",D137="",F137=""),"",IF(COUNTIFS($F$7:$F$206,F137,$B$7:$B$206,B137,$C$7:$C$206,"&lt;"&amp;D137,$D$7:$D$206,"&gt;"&amp;C137,$M$7:$M$206,"&lt;&gt;Annulée")&gt;1,"DOUBLE RÉSERVATION","OK")))</f>
        <v/>
      </c>
      <c r="Q137" s="9">
        <f>IF(M137="Annulée","OK",IF(OR(B137="",C137="",D137="",F137=""),"",IF(SUMPRODUCT((Indisponibilités!$A$2:$A$101=F137)*((Indisponibilités!$B$2:$B$101+Indisponibilités!$C$2:$C$101)&lt;(B137+D137))*((Indisponibilités!$D$2:$D$101+Indisponibilités!$E$2:$E$101)&gt;(B137+C137)))&gt;0,"INDISPONIBLE","OK")))</f>
        <v/>
      </c>
      <c r="R137" s="9">
        <f>IF(OR(I137="",K137=""),"",IF(COUNTIFS(Chantiers_Zones!$B$2:$B$101,I137,Chantiers_Zones!$D$2:$D$101,K137,Chantiers_Zones!$E$2:$E$101,"Oui")&gt;0,"OK","ZONE INVALIDE"))</f>
        <v/>
      </c>
      <c r="S137" s="9">
        <f>IF(OR(B137="",I137=""),"",IFERROR(IF(AND(B137&gt;=_xlfn.XLOOKUP(I137,Chantiers_Zones!$B$2:$B$101,Chantiers_Zones!$F$2:$F$101),B137&lt;=_xlfn.XLOOKUP(I137,Chantiers_Zones!$B$2:$B$101,Chantiers_Zones!$G$2:$G$101)),"OK","HORS PÉRIODE"),"CHANTIER INCONNU"))</f>
        <v/>
      </c>
      <c r="T137" s="9">
        <f>IF(COUNTA(A137:D137,F137,I137,K137:O137)=0,"",IF(M137="Annulée","OK",IF(OR(A137="",B137="",C137="",D137="",F137="",I137="",K137="",L137="",M137=""),"INCOMPLET",IF(D137&lt;=C137,"HORAIRES INVALIDES",IF(OR(C137&lt;Paramètres!$B$3,D137&gt;Paramètres!$B$4),"HORS PLAGE",IF(P137&lt;&gt;"OK",P137,IF(Q137&lt;&gt;"OK",Q137,IF(R137&lt;&gt;"OK",R137,IF(S137&lt;&gt;"OK",S137,"OK")))))))))</f>
        <v/>
      </c>
    </row>
    <row r="138">
      <c r="A138" s="12" t="n"/>
      <c r="B138" s="24" t="n"/>
      <c r="C138" s="25" t="n"/>
      <c r="D138" s="25" t="n"/>
      <c r="E138" s="15">
        <f>IF(OR(C138="",D138=""),"",IF(D138&gt;C138,(D138-C138)*24,""))</f>
        <v/>
      </c>
      <c r="F138" s="12" t="n"/>
      <c r="G138" s="16">
        <f>IF(F138="","",IFERROR(_xlfn.XLOOKUP(F138,Intervenants!$A$2:$A$101,Intervenants!$B$2:$B$101),"ID inconnu"))</f>
        <v/>
      </c>
      <c r="H138" s="16">
        <f>IF(F138="","",IFERROR(_xlfn.XLOOKUP(F138,Intervenants!$A$2:$A$101,Intervenants!$C$2:$C$101),"ID inconnu"))</f>
        <v/>
      </c>
      <c r="I138" s="12" t="n"/>
      <c r="J138" s="16">
        <f>IF(I138="","",IFERROR(_xlfn.XLOOKUP(I138,Chantiers_Zones!$B$2:$B$101,Chantiers_Zones!$C$2:$C$101),"CHANTIER INCONNU"))</f>
        <v/>
      </c>
      <c r="K138" s="12" t="n"/>
      <c r="L138" s="12" t="n"/>
      <c r="M138" s="8" t="n"/>
      <c r="N138" s="8" t="n"/>
      <c r="O138" s="17" t="n"/>
      <c r="P138" s="9">
        <f>IF(M138="Annulée","OK",IF(OR(B138="",C138="",D138="",F138=""),"",IF(COUNTIFS($F$7:$F$206,F138,$B$7:$B$206,B138,$C$7:$C$206,"&lt;"&amp;D138,$D$7:$D$206,"&gt;"&amp;C138,$M$7:$M$206,"&lt;&gt;Annulée")&gt;1,"DOUBLE RÉSERVATION","OK")))</f>
        <v/>
      </c>
      <c r="Q138" s="9">
        <f>IF(M138="Annulée","OK",IF(OR(B138="",C138="",D138="",F138=""),"",IF(SUMPRODUCT((Indisponibilités!$A$2:$A$101=F138)*((Indisponibilités!$B$2:$B$101+Indisponibilités!$C$2:$C$101)&lt;(B138+D138))*((Indisponibilités!$D$2:$D$101+Indisponibilités!$E$2:$E$101)&gt;(B138+C138)))&gt;0,"INDISPONIBLE","OK")))</f>
        <v/>
      </c>
      <c r="R138" s="9">
        <f>IF(OR(I138="",K138=""),"",IF(COUNTIFS(Chantiers_Zones!$B$2:$B$101,I138,Chantiers_Zones!$D$2:$D$101,K138,Chantiers_Zones!$E$2:$E$101,"Oui")&gt;0,"OK","ZONE INVALIDE"))</f>
        <v/>
      </c>
      <c r="S138" s="9">
        <f>IF(OR(B138="",I138=""),"",IFERROR(IF(AND(B138&gt;=_xlfn.XLOOKUP(I138,Chantiers_Zones!$B$2:$B$101,Chantiers_Zones!$F$2:$F$101),B138&lt;=_xlfn.XLOOKUP(I138,Chantiers_Zones!$B$2:$B$101,Chantiers_Zones!$G$2:$G$101)),"OK","HORS PÉRIODE"),"CHANTIER INCONNU"))</f>
        <v/>
      </c>
      <c r="T138" s="9">
        <f>IF(COUNTA(A138:D138,F138,I138,K138:O138)=0,"",IF(M138="Annulée","OK",IF(OR(A138="",B138="",C138="",D138="",F138="",I138="",K138="",L138="",M138=""),"INCOMPLET",IF(D138&lt;=C138,"HORAIRES INVALIDES",IF(OR(C138&lt;Paramètres!$B$3,D138&gt;Paramètres!$B$4),"HORS PLAGE",IF(P138&lt;&gt;"OK",P138,IF(Q138&lt;&gt;"OK",Q138,IF(R138&lt;&gt;"OK",R138,IF(S138&lt;&gt;"OK",S138,"OK")))))))))</f>
        <v/>
      </c>
    </row>
    <row r="139">
      <c r="A139" s="12" t="n"/>
      <c r="B139" s="24" t="n"/>
      <c r="C139" s="25" t="n"/>
      <c r="D139" s="25" t="n"/>
      <c r="E139" s="15">
        <f>IF(OR(C139="",D139=""),"",IF(D139&gt;C139,(D139-C139)*24,""))</f>
        <v/>
      </c>
      <c r="F139" s="12" t="n"/>
      <c r="G139" s="16">
        <f>IF(F139="","",IFERROR(_xlfn.XLOOKUP(F139,Intervenants!$A$2:$A$101,Intervenants!$B$2:$B$101),"ID inconnu"))</f>
        <v/>
      </c>
      <c r="H139" s="16">
        <f>IF(F139="","",IFERROR(_xlfn.XLOOKUP(F139,Intervenants!$A$2:$A$101,Intervenants!$C$2:$C$101),"ID inconnu"))</f>
        <v/>
      </c>
      <c r="I139" s="12" t="n"/>
      <c r="J139" s="16">
        <f>IF(I139="","",IFERROR(_xlfn.XLOOKUP(I139,Chantiers_Zones!$B$2:$B$101,Chantiers_Zones!$C$2:$C$101),"CHANTIER INCONNU"))</f>
        <v/>
      </c>
      <c r="K139" s="12" t="n"/>
      <c r="L139" s="12" t="n"/>
      <c r="M139" s="8" t="n"/>
      <c r="N139" s="8" t="n"/>
      <c r="O139" s="17" t="n"/>
      <c r="P139" s="9">
        <f>IF(M139="Annulée","OK",IF(OR(B139="",C139="",D139="",F139=""),"",IF(COUNTIFS($F$7:$F$206,F139,$B$7:$B$206,B139,$C$7:$C$206,"&lt;"&amp;D139,$D$7:$D$206,"&gt;"&amp;C139,$M$7:$M$206,"&lt;&gt;Annulée")&gt;1,"DOUBLE RÉSERVATION","OK")))</f>
        <v/>
      </c>
      <c r="Q139" s="9">
        <f>IF(M139="Annulée","OK",IF(OR(B139="",C139="",D139="",F139=""),"",IF(SUMPRODUCT((Indisponibilités!$A$2:$A$101=F139)*((Indisponibilités!$B$2:$B$101+Indisponibilités!$C$2:$C$101)&lt;(B139+D139))*((Indisponibilités!$D$2:$D$101+Indisponibilités!$E$2:$E$101)&gt;(B139+C139)))&gt;0,"INDISPONIBLE","OK")))</f>
        <v/>
      </c>
      <c r="R139" s="9">
        <f>IF(OR(I139="",K139=""),"",IF(COUNTIFS(Chantiers_Zones!$B$2:$B$101,I139,Chantiers_Zones!$D$2:$D$101,K139,Chantiers_Zones!$E$2:$E$101,"Oui")&gt;0,"OK","ZONE INVALIDE"))</f>
        <v/>
      </c>
      <c r="S139" s="9">
        <f>IF(OR(B139="",I139=""),"",IFERROR(IF(AND(B139&gt;=_xlfn.XLOOKUP(I139,Chantiers_Zones!$B$2:$B$101,Chantiers_Zones!$F$2:$F$101),B139&lt;=_xlfn.XLOOKUP(I139,Chantiers_Zones!$B$2:$B$101,Chantiers_Zones!$G$2:$G$101)),"OK","HORS PÉRIODE"),"CHANTIER INCONNU"))</f>
        <v/>
      </c>
      <c r="T139" s="9">
        <f>IF(COUNTA(A139:D139,F139,I139,K139:O139)=0,"",IF(M139="Annulée","OK",IF(OR(A139="",B139="",C139="",D139="",F139="",I139="",K139="",L139="",M139=""),"INCOMPLET",IF(D139&lt;=C139,"HORAIRES INVALIDES",IF(OR(C139&lt;Paramètres!$B$3,D139&gt;Paramètres!$B$4),"HORS PLAGE",IF(P139&lt;&gt;"OK",P139,IF(Q139&lt;&gt;"OK",Q139,IF(R139&lt;&gt;"OK",R139,IF(S139&lt;&gt;"OK",S139,"OK")))))))))</f>
        <v/>
      </c>
    </row>
    <row r="140">
      <c r="A140" s="12" t="n"/>
      <c r="B140" s="24" t="n"/>
      <c r="C140" s="25" t="n"/>
      <c r="D140" s="25" t="n"/>
      <c r="E140" s="15">
        <f>IF(OR(C140="",D140=""),"",IF(D140&gt;C140,(D140-C140)*24,""))</f>
        <v/>
      </c>
      <c r="F140" s="12" t="n"/>
      <c r="G140" s="16">
        <f>IF(F140="","",IFERROR(_xlfn.XLOOKUP(F140,Intervenants!$A$2:$A$101,Intervenants!$B$2:$B$101),"ID inconnu"))</f>
        <v/>
      </c>
      <c r="H140" s="16">
        <f>IF(F140="","",IFERROR(_xlfn.XLOOKUP(F140,Intervenants!$A$2:$A$101,Intervenants!$C$2:$C$101),"ID inconnu"))</f>
        <v/>
      </c>
      <c r="I140" s="12" t="n"/>
      <c r="J140" s="16">
        <f>IF(I140="","",IFERROR(_xlfn.XLOOKUP(I140,Chantiers_Zones!$B$2:$B$101,Chantiers_Zones!$C$2:$C$101),"CHANTIER INCONNU"))</f>
        <v/>
      </c>
      <c r="K140" s="12" t="n"/>
      <c r="L140" s="12" t="n"/>
      <c r="M140" s="8" t="n"/>
      <c r="N140" s="8" t="n"/>
      <c r="O140" s="17" t="n"/>
      <c r="P140" s="9">
        <f>IF(M140="Annulée","OK",IF(OR(B140="",C140="",D140="",F140=""),"",IF(COUNTIFS($F$7:$F$206,F140,$B$7:$B$206,B140,$C$7:$C$206,"&lt;"&amp;D140,$D$7:$D$206,"&gt;"&amp;C140,$M$7:$M$206,"&lt;&gt;Annulée")&gt;1,"DOUBLE RÉSERVATION","OK")))</f>
        <v/>
      </c>
      <c r="Q140" s="9">
        <f>IF(M140="Annulée","OK",IF(OR(B140="",C140="",D140="",F140=""),"",IF(SUMPRODUCT((Indisponibilités!$A$2:$A$101=F140)*((Indisponibilités!$B$2:$B$101+Indisponibilités!$C$2:$C$101)&lt;(B140+D140))*((Indisponibilités!$D$2:$D$101+Indisponibilités!$E$2:$E$101)&gt;(B140+C140)))&gt;0,"INDISPONIBLE","OK")))</f>
        <v/>
      </c>
      <c r="R140" s="9">
        <f>IF(OR(I140="",K140=""),"",IF(COUNTIFS(Chantiers_Zones!$B$2:$B$101,I140,Chantiers_Zones!$D$2:$D$101,K140,Chantiers_Zones!$E$2:$E$101,"Oui")&gt;0,"OK","ZONE INVALIDE"))</f>
        <v/>
      </c>
      <c r="S140" s="9">
        <f>IF(OR(B140="",I140=""),"",IFERROR(IF(AND(B140&gt;=_xlfn.XLOOKUP(I140,Chantiers_Zones!$B$2:$B$101,Chantiers_Zones!$F$2:$F$101),B140&lt;=_xlfn.XLOOKUP(I140,Chantiers_Zones!$B$2:$B$101,Chantiers_Zones!$G$2:$G$101)),"OK","HORS PÉRIODE"),"CHANTIER INCONNU"))</f>
        <v/>
      </c>
      <c r="T140" s="9">
        <f>IF(COUNTA(A140:D140,F140,I140,K140:O140)=0,"",IF(M140="Annulée","OK",IF(OR(A140="",B140="",C140="",D140="",F140="",I140="",K140="",L140="",M140=""),"INCOMPLET",IF(D140&lt;=C140,"HORAIRES INVALIDES",IF(OR(C140&lt;Paramètres!$B$3,D140&gt;Paramètres!$B$4),"HORS PLAGE",IF(P140&lt;&gt;"OK",P140,IF(Q140&lt;&gt;"OK",Q140,IF(R140&lt;&gt;"OK",R140,IF(S140&lt;&gt;"OK",S140,"OK")))))))))</f>
        <v/>
      </c>
    </row>
    <row r="141">
      <c r="A141" s="12" t="n"/>
      <c r="B141" s="24" t="n"/>
      <c r="C141" s="25" t="n"/>
      <c r="D141" s="25" t="n"/>
      <c r="E141" s="15">
        <f>IF(OR(C141="",D141=""),"",IF(D141&gt;C141,(D141-C141)*24,""))</f>
        <v/>
      </c>
      <c r="F141" s="12" t="n"/>
      <c r="G141" s="16">
        <f>IF(F141="","",IFERROR(_xlfn.XLOOKUP(F141,Intervenants!$A$2:$A$101,Intervenants!$B$2:$B$101),"ID inconnu"))</f>
        <v/>
      </c>
      <c r="H141" s="16">
        <f>IF(F141="","",IFERROR(_xlfn.XLOOKUP(F141,Intervenants!$A$2:$A$101,Intervenants!$C$2:$C$101),"ID inconnu"))</f>
        <v/>
      </c>
      <c r="I141" s="12" t="n"/>
      <c r="J141" s="16">
        <f>IF(I141="","",IFERROR(_xlfn.XLOOKUP(I141,Chantiers_Zones!$B$2:$B$101,Chantiers_Zones!$C$2:$C$101),"CHANTIER INCONNU"))</f>
        <v/>
      </c>
      <c r="K141" s="12" t="n"/>
      <c r="L141" s="12" t="n"/>
      <c r="M141" s="8" t="n"/>
      <c r="N141" s="8" t="n"/>
      <c r="O141" s="17" t="n"/>
      <c r="P141" s="9">
        <f>IF(M141="Annulée","OK",IF(OR(B141="",C141="",D141="",F141=""),"",IF(COUNTIFS($F$7:$F$206,F141,$B$7:$B$206,B141,$C$7:$C$206,"&lt;"&amp;D141,$D$7:$D$206,"&gt;"&amp;C141,$M$7:$M$206,"&lt;&gt;Annulée")&gt;1,"DOUBLE RÉSERVATION","OK")))</f>
        <v/>
      </c>
      <c r="Q141" s="9">
        <f>IF(M141="Annulée","OK",IF(OR(B141="",C141="",D141="",F141=""),"",IF(SUMPRODUCT((Indisponibilités!$A$2:$A$101=F141)*((Indisponibilités!$B$2:$B$101+Indisponibilités!$C$2:$C$101)&lt;(B141+D141))*((Indisponibilités!$D$2:$D$101+Indisponibilités!$E$2:$E$101)&gt;(B141+C141)))&gt;0,"INDISPONIBLE","OK")))</f>
        <v/>
      </c>
      <c r="R141" s="9">
        <f>IF(OR(I141="",K141=""),"",IF(COUNTIFS(Chantiers_Zones!$B$2:$B$101,I141,Chantiers_Zones!$D$2:$D$101,K141,Chantiers_Zones!$E$2:$E$101,"Oui")&gt;0,"OK","ZONE INVALIDE"))</f>
        <v/>
      </c>
      <c r="S141" s="9">
        <f>IF(OR(B141="",I141=""),"",IFERROR(IF(AND(B141&gt;=_xlfn.XLOOKUP(I141,Chantiers_Zones!$B$2:$B$101,Chantiers_Zones!$F$2:$F$101),B141&lt;=_xlfn.XLOOKUP(I141,Chantiers_Zones!$B$2:$B$101,Chantiers_Zones!$G$2:$G$101)),"OK","HORS PÉRIODE"),"CHANTIER INCONNU"))</f>
        <v/>
      </c>
      <c r="T141" s="9">
        <f>IF(COUNTA(A141:D141,F141,I141,K141:O141)=0,"",IF(M141="Annulée","OK",IF(OR(A141="",B141="",C141="",D141="",F141="",I141="",K141="",L141="",M141=""),"INCOMPLET",IF(D141&lt;=C141,"HORAIRES INVALIDES",IF(OR(C141&lt;Paramètres!$B$3,D141&gt;Paramètres!$B$4),"HORS PLAGE",IF(P141&lt;&gt;"OK",P141,IF(Q141&lt;&gt;"OK",Q141,IF(R141&lt;&gt;"OK",R141,IF(S141&lt;&gt;"OK",S141,"OK")))))))))</f>
        <v/>
      </c>
    </row>
    <row r="142">
      <c r="A142" s="12" t="n"/>
      <c r="B142" s="24" t="n"/>
      <c r="C142" s="25" t="n"/>
      <c r="D142" s="25" t="n"/>
      <c r="E142" s="15">
        <f>IF(OR(C142="",D142=""),"",IF(D142&gt;C142,(D142-C142)*24,""))</f>
        <v/>
      </c>
      <c r="F142" s="12" t="n"/>
      <c r="G142" s="16">
        <f>IF(F142="","",IFERROR(_xlfn.XLOOKUP(F142,Intervenants!$A$2:$A$101,Intervenants!$B$2:$B$101),"ID inconnu"))</f>
        <v/>
      </c>
      <c r="H142" s="16">
        <f>IF(F142="","",IFERROR(_xlfn.XLOOKUP(F142,Intervenants!$A$2:$A$101,Intervenants!$C$2:$C$101),"ID inconnu"))</f>
        <v/>
      </c>
      <c r="I142" s="12" t="n"/>
      <c r="J142" s="16">
        <f>IF(I142="","",IFERROR(_xlfn.XLOOKUP(I142,Chantiers_Zones!$B$2:$B$101,Chantiers_Zones!$C$2:$C$101),"CHANTIER INCONNU"))</f>
        <v/>
      </c>
      <c r="K142" s="12" t="n"/>
      <c r="L142" s="12" t="n"/>
      <c r="M142" s="8" t="n"/>
      <c r="N142" s="8" t="n"/>
      <c r="O142" s="17" t="n"/>
      <c r="P142" s="9">
        <f>IF(M142="Annulée","OK",IF(OR(B142="",C142="",D142="",F142=""),"",IF(COUNTIFS($F$7:$F$206,F142,$B$7:$B$206,B142,$C$7:$C$206,"&lt;"&amp;D142,$D$7:$D$206,"&gt;"&amp;C142,$M$7:$M$206,"&lt;&gt;Annulée")&gt;1,"DOUBLE RÉSERVATION","OK")))</f>
        <v/>
      </c>
      <c r="Q142" s="9">
        <f>IF(M142="Annulée","OK",IF(OR(B142="",C142="",D142="",F142=""),"",IF(SUMPRODUCT((Indisponibilités!$A$2:$A$101=F142)*((Indisponibilités!$B$2:$B$101+Indisponibilités!$C$2:$C$101)&lt;(B142+D142))*((Indisponibilités!$D$2:$D$101+Indisponibilités!$E$2:$E$101)&gt;(B142+C142)))&gt;0,"INDISPONIBLE","OK")))</f>
        <v/>
      </c>
      <c r="R142" s="9">
        <f>IF(OR(I142="",K142=""),"",IF(COUNTIFS(Chantiers_Zones!$B$2:$B$101,I142,Chantiers_Zones!$D$2:$D$101,K142,Chantiers_Zones!$E$2:$E$101,"Oui")&gt;0,"OK","ZONE INVALIDE"))</f>
        <v/>
      </c>
      <c r="S142" s="9">
        <f>IF(OR(B142="",I142=""),"",IFERROR(IF(AND(B142&gt;=_xlfn.XLOOKUP(I142,Chantiers_Zones!$B$2:$B$101,Chantiers_Zones!$F$2:$F$101),B142&lt;=_xlfn.XLOOKUP(I142,Chantiers_Zones!$B$2:$B$101,Chantiers_Zones!$G$2:$G$101)),"OK","HORS PÉRIODE"),"CHANTIER INCONNU"))</f>
        <v/>
      </c>
      <c r="T142" s="9">
        <f>IF(COUNTA(A142:D142,F142,I142,K142:O142)=0,"",IF(M142="Annulée","OK",IF(OR(A142="",B142="",C142="",D142="",F142="",I142="",K142="",L142="",M142=""),"INCOMPLET",IF(D142&lt;=C142,"HORAIRES INVALIDES",IF(OR(C142&lt;Paramètres!$B$3,D142&gt;Paramètres!$B$4),"HORS PLAGE",IF(P142&lt;&gt;"OK",P142,IF(Q142&lt;&gt;"OK",Q142,IF(R142&lt;&gt;"OK",R142,IF(S142&lt;&gt;"OK",S142,"OK")))))))))</f>
        <v/>
      </c>
    </row>
    <row r="143">
      <c r="A143" s="12" t="n"/>
      <c r="B143" s="24" t="n"/>
      <c r="C143" s="25" t="n"/>
      <c r="D143" s="25" t="n"/>
      <c r="E143" s="15">
        <f>IF(OR(C143="",D143=""),"",IF(D143&gt;C143,(D143-C143)*24,""))</f>
        <v/>
      </c>
      <c r="F143" s="12" t="n"/>
      <c r="G143" s="16">
        <f>IF(F143="","",IFERROR(_xlfn.XLOOKUP(F143,Intervenants!$A$2:$A$101,Intervenants!$B$2:$B$101),"ID inconnu"))</f>
        <v/>
      </c>
      <c r="H143" s="16">
        <f>IF(F143="","",IFERROR(_xlfn.XLOOKUP(F143,Intervenants!$A$2:$A$101,Intervenants!$C$2:$C$101),"ID inconnu"))</f>
        <v/>
      </c>
      <c r="I143" s="12" t="n"/>
      <c r="J143" s="16">
        <f>IF(I143="","",IFERROR(_xlfn.XLOOKUP(I143,Chantiers_Zones!$B$2:$B$101,Chantiers_Zones!$C$2:$C$101),"CHANTIER INCONNU"))</f>
        <v/>
      </c>
      <c r="K143" s="12" t="n"/>
      <c r="L143" s="12" t="n"/>
      <c r="M143" s="8" t="n"/>
      <c r="N143" s="8" t="n"/>
      <c r="O143" s="17" t="n"/>
      <c r="P143" s="9">
        <f>IF(M143="Annulée","OK",IF(OR(B143="",C143="",D143="",F143=""),"",IF(COUNTIFS($F$7:$F$206,F143,$B$7:$B$206,B143,$C$7:$C$206,"&lt;"&amp;D143,$D$7:$D$206,"&gt;"&amp;C143,$M$7:$M$206,"&lt;&gt;Annulée")&gt;1,"DOUBLE RÉSERVATION","OK")))</f>
        <v/>
      </c>
      <c r="Q143" s="9">
        <f>IF(M143="Annulée","OK",IF(OR(B143="",C143="",D143="",F143=""),"",IF(SUMPRODUCT((Indisponibilités!$A$2:$A$101=F143)*((Indisponibilités!$B$2:$B$101+Indisponibilités!$C$2:$C$101)&lt;(B143+D143))*((Indisponibilités!$D$2:$D$101+Indisponibilités!$E$2:$E$101)&gt;(B143+C143)))&gt;0,"INDISPONIBLE","OK")))</f>
        <v/>
      </c>
      <c r="R143" s="9">
        <f>IF(OR(I143="",K143=""),"",IF(COUNTIFS(Chantiers_Zones!$B$2:$B$101,I143,Chantiers_Zones!$D$2:$D$101,K143,Chantiers_Zones!$E$2:$E$101,"Oui")&gt;0,"OK","ZONE INVALIDE"))</f>
        <v/>
      </c>
      <c r="S143" s="9">
        <f>IF(OR(B143="",I143=""),"",IFERROR(IF(AND(B143&gt;=_xlfn.XLOOKUP(I143,Chantiers_Zones!$B$2:$B$101,Chantiers_Zones!$F$2:$F$101),B143&lt;=_xlfn.XLOOKUP(I143,Chantiers_Zones!$B$2:$B$101,Chantiers_Zones!$G$2:$G$101)),"OK","HORS PÉRIODE"),"CHANTIER INCONNU"))</f>
        <v/>
      </c>
      <c r="T143" s="9">
        <f>IF(COUNTA(A143:D143,F143,I143,K143:O143)=0,"",IF(M143="Annulée","OK",IF(OR(A143="",B143="",C143="",D143="",F143="",I143="",K143="",L143="",M143=""),"INCOMPLET",IF(D143&lt;=C143,"HORAIRES INVALIDES",IF(OR(C143&lt;Paramètres!$B$3,D143&gt;Paramètres!$B$4),"HORS PLAGE",IF(P143&lt;&gt;"OK",P143,IF(Q143&lt;&gt;"OK",Q143,IF(R143&lt;&gt;"OK",R143,IF(S143&lt;&gt;"OK",S143,"OK")))))))))</f>
        <v/>
      </c>
    </row>
    <row r="144">
      <c r="A144" s="12" t="n"/>
      <c r="B144" s="24" t="n"/>
      <c r="C144" s="25" t="n"/>
      <c r="D144" s="25" t="n"/>
      <c r="E144" s="15">
        <f>IF(OR(C144="",D144=""),"",IF(D144&gt;C144,(D144-C144)*24,""))</f>
        <v/>
      </c>
      <c r="F144" s="12" t="n"/>
      <c r="G144" s="16">
        <f>IF(F144="","",IFERROR(_xlfn.XLOOKUP(F144,Intervenants!$A$2:$A$101,Intervenants!$B$2:$B$101),"ID inconnu"))</f>
        <v/>
      </c>
      <c r="H144" s="16">
        <f>IF(F144="","",IFERROR(_xlfn.XLOOKUP(F144,Intervenants!$A$2:$A$101,Intervenants!$C$2:$C$101),"ID inconnu"))</f>
        <v/>
      </c>
      <c r="I144" s="12" t="n"/>
      <c r="J144" s="16">
        <f>IF(I144="","",IFERROR(_xlfn.XLOOKUP(I144,Chantiers_Zones!$B$2:$B$101,Chantiers_Zones!$C$2:$C$101),"CHANTIER INCONNU"))</f>
        <v/>
      </c>
      <c r="K144" s="12" t="n"/>
      <c r="L144" s="12" t="n"/>
      <c r="M144" s="8" t="n"/>
      <c r="N144" s="8" t="n"/>
      <c r="O144" s="17" t="n"/>
      <c r="P144" s="9">
        <f>IF(M144="Annulée","OK",IF(OR(B144="",C144="",D144="",F144=""),"",IF(COUNTIFS($F$7:$F$206,F144,$B$7:$B$206,B144,$C$7:$C$206,"&lt;"&amp;D144,$D$7:$D$206,"&gt;"&amp;C144,$M$7:$M$206,"&lt;&gt;Annulée")&gt;1,"DOUBLE RÉSERVATION","OK")))</f>
        <v/>
      </c>
      <c r="Q144" s="9">
        <f>IF(M144="Annulée","OK",IF(OR(B144="",C144="",D144="",F144=""),"",IF(SUMPRODUCT((Indisponibilités!$A$2:$A$101=F144)*((Indisponibilités!$B$2:$B$101+Indisponibilités!$C$2:$C$101)&lt;(B144+D144))*((Indisponibilités!$D$2:$D$101+Indisponibilités!$E$2:$E$101)&gt;(B144+C144)))&gt;0,"INDISPONIBLE","OK")))</f>
        <v/>
      </c>
      <c r="R144" s="9">
        <f>IF(OR(I144="",K144=""),"",IF(COUNTIFS(Chantiers_Zones!$B$2:$B$101,I144,Chantiers_Zones!$D$2:$D$101,K144,Chantiers_Zones!$E$2:$E$101,"Oui")&gt;0,"OK","ZONE INVALIDE"))</f>
        <v/>
      </c>
      <c r="S144" s="9">
        <f>IF(OR(B144="",I144=""),"",IFERROR(IF(AND(B144&gt;=_xlfn.XLOOKUP(I144,Chantiers_Zones!$B$2:$B$101,Chantiers_Zones!$F$2:$F$101),B144&lt;=_xlfn.XLOOKUP(I144,Chantiers_Zones!$B$2:$B$101,Chantiers_Zones!$G$2:$G$101)),"OK","HORS PÉRIODE"),"CHANTIER INCONNU"))</f>
        <v/>
      </c>
      <c r="T144" s="9">
        <f>IF(COUNTA(A144:D144,F144,I144,K144:O144)=0,"",IF(M144="Annulée","OK",IF(OR(A144="",B144="",C144="",D144="",F144="",I144="",K144="",L144="",M144=""),"INCOMPLET",IF(D144&lt;=C144,"HORAIRES INVALIDES",IF(OR(C144&lt;Paramètres!$B$3,D144&gt;Paramètres!$B$4),"HORS PLAGE",IF(P144&lt;&gt;"OK",P144,IF(Q144&lt;&gt;"OK",Q144,IF(R144&lt;&gt;"OK",R144,IF(S144&lt;&gt;"OK",S144,"OK")))))))))</f>
        <v/>
      </c>
    </row>
    <row r="145">
      <c r="A145" s="12" t="n"/>
      <c r="B145" s="24" t="n"/>
      <c r="C145" s="25" t="n"/>
      <c r="D145" s="25" t="n"/>
      <c r="E145" s="15">
        <f>IF(OR(C145="",D145=""),"",IF(D145&gt;C145,(D145-C145)*24,""))</f>
        <v/>
      </c>
      <c r="F145" s="12" t="n"/>
      <c r="G145" s="16">
        <f>IF(F145="","",IFERROR(_xlfn.XLOOKUP(F145,Intervenants!$A$2:$A$101,Intervenants!$B$2:$B$101),"ID inconnu"))</f>
        <v/>
      </c>
      <c r="H145" s="16">
        <f>IF(F145="","",IFERROR(_xlfn.XLOOKUP(F145,Intervenants!$A$2:$A$101,Intervenants!$C$2:$C$101),"ID inconnu"))</f>
        <v/>
      </c>
      <c r="I145" s="12" t="n"/>
      <c r="J145" s="16">
        <f>IF(I145="","",IFERROR(_xlfn.XLOOKUP(I145,Chantiers_Zones!$B$2:$B$101,Chantiers_Zones!$C$2:$C$101),"CHANTIER INCONNU"))</f>
        <v/>
      </c>
      <c r="K145" s="12" t="n"/>
      <c r="L145" s="12" t="n"/>
      <c r="M145" s="8" t="n"/>
      <c r="N145" s="8" t="n"/>
      <c r="O145" s="17" t="n"/>
      <c r="P145" s="9">
        <f>IF(M145="Annulée","OK",IF(OR(B145="",C145="",D145="",F145=""),"",IF(COUNTIFS($F$7:$F$206,F145,$B$7:$B$206,B145,$C$7:$C$206,"&lt;"&amp;D145,$D$7:$D$206,"&gt;"&amp;C145,$M$7:$M$206,"&lt;&gt;Annulée")&gt;1,"DOUBLE RÉSERVATION","OK")))</f>
        <v/>
      </c>
      <c r="Q145" s="9">
        <f>IF(M145="Annulée","OK",IF(OR(B145="",C145="",D145="",F145=""),"",IF(SUMPRODUCT((Indisponibilités!$A$2:$A$101=F145)*((Indisponibilités!$B$2:$B$101+Indisponibilités!$C$2:$C$101)&lt;(B145+D145))*((Indisponibilités!$D$2:$D$101+Indisponibilités!$E$2:$E$101)&gt;(B145+C145)))&gt;0,"INDISPONIBLE","OK")))</f>
        <v/>
      </c>
      <c r="R145" s="9">
        <f>IF(OR(I145="",K145=""),"",IF(COUNTIFS(Chantiers_Zones!$B$2:$B$101,I145,Chantiers_Zones!$D$2:$D$101,K145,Chantiers_Zones!$E$2:$E$101,"Oui")&gt;0,"OK","ZONE INVALIDE"))</f>
        <v/>
      </c>
      <c r="S145" s="9">
        <f>IF(OR(B145="",I145=""),"",IFERROR(IF(AND(B145&gt;=_xlfn.XLOOKUP(I145,Chantiers_Zones!$B$2:$B$101,Chantiers_Zones!$F$2:$F$101),B145&lt;=_xlfn.XLOOKUP(I145,Chantiers_Zones!$B$2:$B$101,Chantiers_Zones!$G$2:$G$101)),"OK","HORS PÉRIODE"),"CHANTIER INCONNU"))</f>
        <v/>
      </c>
      <c r="T145" s="9">
        <f>IF(COUNTA(A145:D145,F145,I145,K145:O145)=0,"",IF(M145="Annulée","OK",IF(OR(A145="",B145="",C145="",D145="",F145="",I145="",K145="",L145="",M145=""),"INCOMPLET",IF(D145&lt;=C145,"HORAIRES INVALIDES",IF(OR(C145&lt;Paramètres!$B$3,D145&gt;Paramètres!$B$4),"HORS PLAGE",IF(P145&lt;&gt;"OK",P145,IF(Q145&lt;&gt;"OK",Q145,IF(R145&lt;&gt;"OK",R145,IF(S145&lt;&gt;"OK",S145,"OK")))))))))</f>
        <v/>
      </c>
    </row>
    <row r="146">
      <c r="A146" s="12" t="n"/>
      <c r="B146" s="24" t="n"/>
      <c r="C146" s="25" t="n"/>
      <c r="D146" s="25" t="n"/>
      <c r="E146" s="15">
        <f>IF(OR(C146="",D146=""),"",IF(D146&gt;C146,(D146-C146)*24,""))</f>
        <v/>
      </c>
      <c r="F146" s="12" t="n"/>
      <c r="G146" s="16">
        <f>IF(F146="","",IFERROR(_xlfn.XLOOKUP(F146,Intervenants!$A$2:$A$101,Intervenants!$B$2:$B$101),"ID inconnu"))</f>
        <v/>
      </c>
      <c r="H146" s="16">
        <f>IF(F146="","",IFERROR(_xlfn.XLOOKUP(F146,Intervenants!$A$2:$A$101,Intervenants!$C$2:$C$101),"ID inconnu"))</f>
        <v/>
      </c>
      <c r="I146" s="12" t="n"/>
      <c r="J146" s="16">
        <f>IF(I146="","",IFERROR(_xlfn.XLOOKUP(I146,Chantiers_Zones!$B$2:$B$101,Chantiers_Zones!$C$2:$C$101),"CHANTIER INCONNU"))</f>
        <v/>
      </c>
      <c r="K146" s="12" t="n"/>
      <c r="L146" s="12" t="n"/>
      <c r="M146" s="8" t="n"/>
      <c r="N146" s="8" t="n"/>
      <c r="O146" s="17" t="n"/>
      <c r="P146" s="9">
        <f>IF(M146="Annulée","OK",IF(OR(B146="",C146="",D146="",F146=""),"",IF(COUNTIFS($F$7:$F$206,F146,$B$7:$B$206,B146,$C$7:$C$206,"&lt;"&amp;D146,$D$7:$D$206,"&gt;"&amp;C146,$M$7:$M$206,"&lt;&gt;Annulée")&gt;1,"DOUBLE RÉSERVATION","OK")))</f>
        <v/>
      </c>
      <c r="Q146" s="9">
        <f>IF(M146="Annulée","OK",IF(OR(B146="",C146="",D146="",F146=""),"",IF(SUMPRODUCT((Indisponibilités!$A$2:$A$101=F146)*((Indisponibilités!$B$2:$B$101+Indisponibilités!$C$2:$C$101)&lt;(B146+D146))*((Indisponibilités!$D$2:$D$101+Indisponibilités!$E$2:$E$101)&gt;(B146+C146)))&gt;0,"INDISPONIBLE","OK")))</f>
        <v/>
      </c>
      <c r="R146" s="9">
        <f>IF(OR(I146="",K146=""),"",IF(COUNTIFS(Chantiers_Zones!$B$2:$B$101,I146,Chantiers_Zones!$D$2:$D$101,K146,Chantiers_Zones!$E$2:$E$101,"Oui")&gt;0,"OK","ZONE INVALIDE"))</f>
        <v/>
      </c>
      <c r="S146" s="9">
        <f>IF(OR(B146="",I146=""),"",IFERROR(IF(AND(B146&gt;=_xlfn.XLOOKUP(I146,Chantiers_Zones!$B$2:$B$101,Chantiers_Zones!$F$2:$F$101),B146&lt;=_xlfn.XLOOKUP(I146,Chantiers_Zones!$B$2:$B$101,Chantiers_Zones!$G$2:$G$101)),"OK","HORS PÉRIODE"),"CHANTIER INCONNU"))</f>
        <v/>
      </c>
      <c r="T146" s="9">
        <f>IF(COUNTA(A146:D146,F146,I146,K146:O146)=0,"",IF(M146="Annulée","OK",IF(OR(A146="",B146="",C146="",D146="",F146="",I146="",K146="",L146="",M146=""),"INCOMPLET",IF(D146&lt;=C146,"HORAIRES INVALIDES",IF(OR(C146&lt;Paramètres!$B$3,D146&gt;Paramètres!$B$4),"HORS PLAGE",IF(P146&lt;&gt;"OK",P146,IF(Q146&lt;&gt;"OK",Q146,IF(R146&lt;&gt;"OK",R146,IF(S146&lt;&gt;"OK",S146,"OK")))))))))</f>
        <v/>
      </c>
    </row>
    <row r="147">
      <c r="A147" s="12" t="n"/>
      <c r="B147" s="24" t="n"/>
      <c r="C147" s="25" t="n"/>
      <c r="D147" s="25" t="n"/>
      <c r="E147" s="15">
        <f>IF(OR(C147="",D147=""),"",IF(D147&gt;C147,(D147-C147)*24,""))</f>
        <v/>
      </c>
      <c r="F147" s="12" t="n"/>
      <c r="G147" s="16">
        <f>IF(F147="","",IFERROR(_xlfn.XLOOKUP(F147,Intervenants!$A$2:$A$101,Intervenants!$B$2:$B$101),"ID inconnu"))</f>
        <v/>
      </c>
      <c r="H147" s="16">
        <f>IF(F147="","",IFERROR(_xlfn.XLOOKUP(F147,Intervenants!$A$2:$A$101,Intervenants!$C$2:$C$101),"ID inconnu"))</f>
        <v/>
      </c>
      <c r="I147" s="12" t="n"/>
      <c r="J147" s="16">
        <f>IF(I147="","",IFERROR(_xlfn.XLOOKUP(I147,Chantiers_Zones!$B$2:$B$101,Chantiers_Zones!$C$2:$C$101),"CHANTIER INCONNU"))</f>
        <v/>
      </c>
      <c r="K147" s="12" t="n"/>
      <c r="L147" s="12" t="n"/>
      <c r="M147" s="8" t="n"/>
      <c r="N147" s="8" t="n"/>
      <c r="O147" s="17" t="n"/>
      <c r="P147" s="9">
        <f>IF(M147="Annulée","OK",IF(OR(B147="",C147="",D147="",F147=""),"",IF(COUNTIFS($F$7:$F$206,F147,$B$7:$B$206,B147,$C$7:$C$206,"&lt;"&amp;D147,$D$7:$D$206,"&gt;"&amp;C147,$M$7:$M$206,"&lt;&gt;Annulée")&gt;1,"DOUBLE RÉSERVATION","OK")))</f>
        <v/>
      </c>
      <c r="Q147" s="9">
        <f>IF(M147="Annulée","OK",IF(OR(B147="",C147="",D147="",F147=""),"",IF(SUMPRODUCT((Indisponibilités!$A$2:$A$101=F147)*((Indisponibilités!$B$2:$B$101+Indisponibilités!$C$2:$C$101)&lt;(B147+D147))*((Indisponibilités!$D$2:$D$101+Indisponibilités!$E$2:$E$101)&gt;(B147+C147)))&gt;0,"INDISPONIBLE","OK")))</f>
        <v/>
      </c>
      <c r="R147" s="9">
        <f>IF(OR(I147="",K147=""),"",IF(COUNTIFS(Chantiers_Zones!$B$2:$B$101,I147,Chantiers_Zones!$D$2:$D$101,K147,Chantiers_Zones!$E$2:$E$101,"Oui")&gt;0,"OK","ZONE INVALIDE"))</f>
        <v/>
      </c>
      <c r="S147" s="9">
        <f>IF(OR(B147="",I147=""),"",IFERROR(IF(AND(B147&gt;=_xlfn.XLOOKUP(I147,Chantiers_Zones!$B$2:$B$101,Chantiers_Zones!$F$2:$F$101),B147&lt;=_xlfn.XLOOKUP(I147,Chantiers_Zones!$B$2:$B$101,Chantiers_Zones!$G$2:$G$101)),"OK","HORS PÉRIODE"),"CHANTIER INCONNU"))</f>
        <v/>
      </c>
      <c r="T147" s="9">
        <f>IF(COUNTA(A147:D147,F147,I147,K147:O147)=0,"",IF(M147="Annulée","OK",IF(OR(A147="",B147="",C147="",D147="",F147="",I147="",K147="",L147="",M147=""),"INCOMPLET",IF(D147&lt;=C147,"HORAIRES INVALIDES",IF(OR(C147&lt;Paramètres!$B$3,D147&gt;Paramètres!$B$4),"HORS PLAGE",IF(P147&lt;&gt;"OK",P147,IF(Q147&lt;&gt;"OK",Q147,IF(R147&lt;&gt;"OK",R147,IF(S147&lt;&gt;"OK",S147,"OK")))))))))</f>
        <v/>
      </c>
    </row>
    <row r="148">
      <c r="A148" s="12" t="n"/>
      <c r="B148" s="24" t="n"/>
      <c r="C148" s="25" t="n"/>
      <c r="D148" s="25" t="n"/>
      <c r="E148" s="15">
        <f>IF(OR(C148="",D148=""),"",IF(D148&gt;C148,(D148-C148)*24,""))</f>
        <v/>
      </c>
      <c r="F148" s="12" t="n"/>
      <c r="G148" s="16">
        <f>IF(F148="","",IFERROR(_xlfn.XLOOKUP(F148,Intervenants!$A$2:$A$101,Intervenants!$B$2:$B$101),"ID inconnu"))</f>
        <v/>
      </c>
      <c r="H148" s="16">
        <f>IF(F148="","",IFERROR(_xlfn.XLOOKUP(F148,Intervenants!$A$2:$A$101,Intervenants!$C$2:$C$101),"ID inconnu"))</f>
        <v/>
      </c>
      <c r="I148" s="12" t="n"/>
      <c r="J148" s="16">
        <f>IF(I148="","",IFERROR(_xlfn.XLOOKUP(I148,Chantiers_Zones!$B$2:$B$101,Chantiers_Zones!$C$2:$C$101),"CHANTIER INCONNU"))</f>
        <v/>
      </c>
      <c r="K148" s="12" t="n"/>
      <c r="L148" s="12" t="n"/>
      <c r="M148" s="8" t="n"/>
      <c r="N148" s="8" t="n"/>
      <c r="O148" s="17" t="n"/>
      <c r="P148" s="9">
        <f>IF(M148="Annulée","OK",IF(OR(B148="",C148="",D148="",F148=""),"",IF(COUNTIFS($F$7:$F$206,F148,$B$7:$B$206,B148,$C$7:$C$206,"&lt;"&amp;D148,$D$7:$D$206,"&gt;"&amp;C148,$M$7:$M$206,"&lt;&gt;Annulée")&gt;1,"DOUBLE RÉSERVATION","OK")))</f>
        <v/>
      </c>
      <c r="Q148" s="9">
        <f>IF(M148="Annulée","OK",IF(OR(B148="",C148="",D148="",F148=""),"",IF(SUMPRODUCT((Indisponibilités!$A$2:$A$101=F148)*((Indisponibilités!$B$2:$B$101+Indisponibilités!$C$2:$C$101)&lt;(B148+D148))*((Indisponibilités!$D$2:$D$101+Indisponibilités!$E$2:$E$101)&gt;(B148+C148)))&gt;0,"INDISPONIBLE","OK")))</f>
        <v/>
      </c>
      <c r="R148" s="9">
        <f>IF(OR(I148="",K148=""),"",IF(COUNTIFS(Chantiers_Zones!$B$2:$B$101,I148,Chantiers_Zones!$D$2:$D$101,K148,Chantiers_Zones!$E$2:$E$101,"Oui")&gt;0,"OK","ZONE INVALIDE"))</f>
        <v/>
      </c>
      <c r="S148" s="9">
        <f>IF(OR(B148="",I148=""),"",IFERROR(IF(AND(B148&gt;=_xlfn.XLOOKUP(I148,Chantiers_Zones!$B$2:$B$101,Chantiers_Zones!$F$2:$F$101),B148&lt;=_xlfn.XLOOKUP(I148,Chantiers_Zones!$B$2:$B$101,Chantiers_Zones!$G$2:$G$101)),"OK","HORS PÉRIODE"),"CHANTIER INCONNU"))</f>
        <v/>
      </c>
      <c r="T148" s="9">
        <f>IF(COUNTA(A148:D148,F148,I148,K148:O148)=0,"",IF(M148="Annulée","OK",IF(OR(A148="",B148="",C148="",D148="",F148="",I148="",K148="",L148="",M148=""),"INCOMPLET",IF(D148&lt;=C148,"HORAIRES INVALIDES",IF(OR(C148&lt;Paramètres!$B$3,D148&gt;Paramètres!$B$4),"HORS PLAGE",IF(P148&lt;&gt;"OK",P148,IF(Q148&lt;&gt;"OK",Q148,IF(R148&lt;&gt;"OK",R148,IF(S148&lt;&gt;"OK",S148,"OK")))))))))</f>
        <v/>
      </c>
    </row>
    <row r="149">
      <c r="A149" s="12" t="n"/>
      <c r="B149" s="24" t="n"/>
      <c r="C149" s="25" t="n"/>
      <c r="D149" s="25" t="n"/>
      <c r="E149" s="15">
        <f>IF(OR(C149="",D149=""),"",IF(D149&gt;C149,(D149-C149)*24,""))</f>
        <v/>
      </c>
      <c r="F149" s="12" t="n"/>
      <c r="G149" s="16">
        <f>IF(F149="","",IFERROR(_xlfn.XLOOKUP(F149,Intervenants!$A$2:$A$101,Intervenants!$B$2:$B$101),"ID inconnu"))</f>
        <v/>
      </c>
      <c r="H149" s="16">
        <f>IF(F149="","",IFERROR(_xlfn.XLOOKUP(F149,Intervenants!$A$2:$A$101,Intervenants!$C$2:$C$101),"ID inconnu"))</f>
        <v/>
      </c>
      <c r="I149" s="12" t="n"/>
      <c r="J149" s="16">
        <f>IF(I149="","",IFERROR(_xlfn.XLOOKUP(I149,Chantiers_Zones!$B$2:$B$101,Chantiers_Zones!$C$2:$C$101),"CHANTIER INCONNU"))</f>
        <v/>
      </c>
      <c r="K149" s="12" t="n"/>
      <c r="L149" s="12" t="n"/>
      <c r="M149" s="8" t="n"/>
      <c r="N149" s="8" t="n"/>
      <c r="O149" s="17" t="n"/>
      <c r="P149" s="9">
        <f>IF(M149="Annulée","OK",IF(OR(B149="",C149="",D149="",F149=""),"",IF(COUNTIFS($F$7:$F$206,F149,$B$7:$B$206,B149,$C$7:$C$206,"&lt;"&amp;D149,$D$7:$D$206,"&gt;"&amp;C149,$M$7:$M$206,"&lt;&gt;Annulée")&gt;1,"DOUBLE RÉSERVATION","OK")))</f>
        <v/>
      </c>
      <c r="Q149" s="9">
        <f>IF(M149="Annulée","OK",IF(OR(B149="",C149="",D149="",F149=""),"",IF(SUMPRODUCT((Indisponibilités!$A$2:$A$101=F149)*((Indisponibilités!$B$2:$B$101+Indisponibilités!$C$2:$C$101)&lt;(B149+D149))*((Indisponibilités!$D$2:$D$101+Indisponibilités!$E$2:$E$101)&gt;(B149+C149)))&gt;0,"INDISPONIBLE","OK")))</f>
        <v/>
      </c>
      <c r="R149" s="9">
        <f>IF(OR(I149="",K149=""),"",IF(COUNTIFS(Chantiers_Zones!$B$2:$B$101,I149,Chantiers_Zones!$D$2:$D$101,K149,Chantiers_Zones!$E$2:$E$101,"Oui")&gt;0,"OK","ZONE INVALIDE"))</f>
        <v/>
      </c>
      <c r="S149" s="9">
        <f>IF(OR(B149="",I149=""),"",IFERROR(IF(AND(B149&gt;=_xlfn.XLOOKUP(I149,Chantiers_Zones!$B$2:$B$101,Chantiers_Zones!$F$2:$F$101),B149&lt;=_xlfn.XLOOKUP(I149,Chantiers_Zones!$B$2:$B$101,Chantiers_Zones!$G$2:$G$101)),"OK","HORS PÉRIODE"),"CHANTIER INCONNU"))</f>
        <v/>
      </c>
      <c r="T149" s="9">
        <f>IF(COUNTA(A149:D149,F149,I149,K149:O149)=0,"",IF(M149="Annulée","OK",IF(OR(A149="",B149="",C149="",D149="",F149="",I149="",K149="",L149="",M149=""),"INCOMPLET",IF(D149&lt;=C149,"HORAIRES INVALIDES",IF(OR(C149&lt;Paramètres!$B$3,D149&gt;Paramètres!$B$4),"HORS PLAGE",IF(P149&lt;&gt;"OK",P149,IF(Q149&lt;&gt;"OK",Q149,IF(R149&lt;&gt;"OK",R149,IF(S149&lt;&gt;"OK",S149,"OK")))))))))</f>
        <v/>
      </c>
    </row>
    <row r="150">
      <c r="A150" s="12" t="n"/>
      <c r="B150" s="24" t="n"/>
      <c r="C150" s="25" t="n"/>
      <c r="D150" s="25" t="n"/>
      <c r="E150" s="15">
        <f>IF(OR(C150="",D150=""),"",IF(D150&gt;C150,(D150-C150)*24,""))</f>
        <v/>
      </c>
      <c r="F150" s="12" t="n"/>
      <c r="G150" s="16">
        <f>IF(F150="","",IFERROR(_xlfn.XLOOKUP(F150,Intervenants!$A$2:$A$101,Intervenants!$B$2:$B$101),"ID inconnu"))</f>
        <v/>
      </c>
      <c r="H150" s="16">
        <f>IF(F150="","",IFERROR(_xlfn.XLOOKUP(F150,Intervenants!$A$2:$A$101,Intervenants!$C$2:$C$101),"ID inconnu"))</f>
        <v/>
      </c>
      <c r="I150" s="12" t="n"/>
      <c r="J150" s="16">
        <f>IF(I150="","",IFERROR(_xlfn.XLOOKUP(I150,Chantiers_Zones!$B$2:$B$101,Chantiers_Zones!$C$2:$C$101),"CHANTIER INCONNU"))</f>
        <v/>
      </c>
      <c r="K150" s="12" t="n"/>
      <c r="L150" s="12" t="n"/>
      <c r="M150" s="8" t="n"/>
      <c r="N150" s="8" t="n"/>
      <c r="O150" s="17" t="n"/>
      <c r="P150" s="9">
        <f>IF(M150="Annulée","OK",IF(OR(B150="",C150="",D150="",F150=""),"",IF(COUNTIFS($F$7:$F$206,F150,$B$7:$B$206,B150,$C$7:$C$206,"&lt;"&amp;D150,$D$7:$D$206,"&gt;"&amp;C150,$M$7:$M$206,"&lt;&gt;Annulée")&gt;1,"DOUBLE RÉSERVATION","OK")))</f>
        <v/>
      </c>
      <c r="Q150" s="9">
        <f>IF(M150="Annulée","OK",IF(OR(B150="",C150="",D150="",F150=""),"",IF(SUMPRODUCT((Indisponibilités!$A$2:$A$101=F150)*((Indisponibilités!$B$2:$B$101+Indisponibilités!$C$2:$C$101)&lt;(B150+D150))*((Indisponibilités!$D$2:$D$101+Indisponibilités!$E$2:$E$101)&gt;(B150+C150)))&gt;0,"INDISPONIBLE","OK")))</f>
        <v/>
      </c>
      <c r="R150" s="9">
        <f>IF(OR(I150="",K150=""),"",IF(COUNTIFS(Chantiers_Zones!$B$2:$B$101,I150,Chantiers_Zones!$D$2:$D$101,K150,Chantiers_Zones!$E$2:$E$101,"Oui")&gt;0,"OK","ZONE INVALIDE"))</f>
        <v/>
      </c>
      <c r="S150" s="9">
        <f>IF(OR(B150="",I150=""),"",IFERROR(IF(AND(B150&gt;=_xlfn.XLOOKUP(I150,Chantiers_Zones!$B$2:$B$101,Chantiers_Zones!$F$2:$F$101),B150&lt;=_xlfn.XLOOKUP(I150,Chantiers_Zones!$B$2:$B$101,Chantiers_Zones!$G$2:$G$101)),"OK","HORS PÉRIODE"),"CHANTIER INCONNU"))</f>
        <v/>
      </c>
      <c r="T150" s="9">
        <f>IF(COUNTA(A150:D150,F150,I150,K150:O150)=0,"",IF(M150="Annulée","OK",IF(OR(A150="",B150="",C150="",D150="",F150="",I150="",K150="",L150="",M150=""),"INCOMPLET",IF(D150&lt;=C150,"HORAIRES INVALIDES",IF(OR(C150&lt;Paramètres!$B$3,D150&gt;Paramètres!$B$4),"HORS PLAGE",IF(P150&lt;&gt;"OK",P150,IF(Q150&lt;&gt;"OK",Q150,IF(R150&lt;&gt;"OK",R150,IF(S150&lt;&gt;"OK",S150,"OK")))))))))</f>
        <v/>
      </c>
    </row>
    <row r="151">
      <c r="A151" s="12" t="n"/>
      <c r="B151" s="24" t="n"/>
      <c r="C151" s="25" t="n"/>
      <c r="D151" s="25" t="n"/>
      <c r="E151" s="15">
        <f>IF(OR(C151="",D151=""),"",IF(D151&gt;C151,(D151-C151)*24,""))</f>
        <v/>
      </c>
      <c r="F151" s="12" t="n"/>
      <c r="G151" s="16">
        <f>IF(F151="","",IFERROR(_xlfn.XLOOKUP(F151,Intervenants!$A$2:$A$101,Intervenants!$B$2:$B$101),"ID inconnu"))</f>
        <v/>
      </c>
      <c r="H151" s="16">
        <f>IF(F151="","",IFERROR(_xlfn.XLOOKUP(F151,Intervenants!$A$2:$A$101,Intervenants!$C$2:$C$101),"ID inconnu"))</f>
        <v/>
      </c>
      <c r="I151" s="12" t="n"/>
      <c r="J151" s="16">
        <f>IF(I151="","",IFERROR(_xlfn.XLOOKUP(I151,Chantiers_Zones!$B$2:$B$101,Chantiers_Zones!$C$2:$C$101),"CHANTIER INCONNU"))</f>
        <v/>
      </c>
      <c r="K151" s="12" t="n"/>
      <c r="L151" s="12" t="n"/>
      <c r="M151" s="8" t="n"/>
      <c r="N151" s="8" t="n"/>
      <c r="O151" s="17" t="n"/>
      <c r="P151" s="9">
        <f>IF(M151="Annulée","OK",IF(OR(B151="",C151="",D151="",F151=""),"",IF(COUNTIFS($F$7:$F$206,F151,$B$7:$B$206,B151,$C$7:$C$206,"&lt;"&amp;D151,$D$7:$D$206,"&gt;"&amp;C151,$M$7:$M$206,"&lt;&gt;Annulée")&gt;1,"DOUBLE RÉSERVATION","OK")))</f>
        <v/>
      </c>
      <c r="Q151" s="9">
        <f>IF(M151="Annulée","OK",IF(OR(B151="",C151="",D151="",F151=""),"",IF(SUMPRODUCT((Indisponibilités!$A$2:$A$101=F151)*((Indisponibilités!$B$2:$B$101+Indisponibilités!$C$2:$C$101)&lt;(B151+D151))*((Indisponibilités!$D$2:$D$101+Indisponibilités!$E$2:$E$101)&gt;(B151+C151)))&gt;0,"INDISPONIBLE","OK")))</f>
        <v/>
      </c>
      <c r="R151" s="9">
        <f>IF(OR(I151="",K151=""),"",IF(COUNTIFS(Chantiers_Zones!$B$2:$B$101,I151,Chantiers_Zones!$D$2:$D$101,K151,Chantiers_Zones!$E$2:$E$101,"Oui")&gt;0,"OK","ZONE INVALIDE"))</f>
        <v/>
      </c>
      <c r="S151" s="9">
        <f>IF(OR(B151="",I151=""),"",IFERROR(IF(AND(B151&gt;=_xlfn.XLOOKUP(I151,Chantiers_Zones!$B$2:$B$101,Chantiers_Zones!$F$2:$F$101),B151&lt;=_xlfn.XLOOKUP(I151,Chantiers_Zones!$B$2:$B$101,Chantiers_Zones!$G$2:$G$101)),"OK","HORS PÉRIODE"),"CHANTIER INCONNU"))</f>
        <v/>
      </c>
      <c r="T151" s="9">
        <f>IF(COUNTA(A151:D151,F151,I151,K151:O151)=0,"",IF(M151="Annulée","OK",IF(OR(A151="",B151="",C151="",D151="",F151="",I151="",K151="",L151="",M151=""),"INCOMPLET",IF(D151&lt;=C151,"HORAIRES INVALIDES",IF(OR(C151&lt;Paramètres!$B$3,D151&gt;Paramètres!$B$4),"HORS PLAGE",IF(P151&lt;&gt;"OK",P151,IF(Q151&lt;&gt;"OK",Q151,IF(R151&lt;&gt;"OK",R151,IF(S151&lt;&gt;"OK",S151,"OK")))))))))</f>
        <v/>
      </c>
    </row>
    <row r="152">
      <c r="A152" s="12" t="n"/>
      <c r="B152" s="24" t="n"/>
      <c r="C152" s="25" t="n"/>
      <c r="D152" s="25" t="n"/>
      <c r="E152" s="15">
        <f>IF(OR(C152="",D152=""),"",IF(D152&gt;C152,(D152-C152)*24,""))</f>
        <v/>
      </c>
      <c r="F152" s="12" t="n"/>
      <c r="G152" s="16">
        <f>IF(F152="","",IFERROR(_xlfn.XLOOKUP(F152,Intervenants!$A$2:$A$101,Intervenants!$B$2:$B$101),"ID inconnu"))</f>
        <v/>
      </c>
      <c r="H152" s="16">
        <f>IF(F152="","",IFERROR(_xlfn.XLOOKUP(F152,Intervenants!$A$2:$A$101,Intervenants!$C$2:$C$101),"ID inconnu"))</f>
        <v/>
      </c>
      <c r="I152" s="12" t="n"/>
      <c r="J152" s="16">
        <f>IF(I152="","",IFERROR(_xlfn.XLOOKUP(I152,Chantiers_Zones!$B$2:$B$101,Chantiers_Zones!$C$2:$C$101),"CHANTIER INCONNU"))</f>
        <v/>
      </c>
      <c r="K152" s="12" t="n"/>
      <c r="L152" s="12" t="n"/>
      <c r="M152" s="8" t="n"/>
      <c r="N152" s="8" t="n"/>
      <c r="O152" s="17" t="n"/>
      <c r="P152" s="9">
        <f>IF(M152="Annulée","OK",IF(OR(B152="",C152="",D152="",F152=""),"",IF(COUNTIFS($F$7:$F$206,F152,$B$7:$B$206,B152,$C$7:$C$206,"&lt;"&amp;D152,$D$7:$D$206,"&gt;"&amp;C152,$M$7:$M$206,"&lt;&gt;Annulée")&gt;1,"DOUBLE RÉSERVATION","OK")))</f>
        <v/>
      </c>
      <c r="Q152" s="9">
        <f>IF(M152="Annulée","OK",IF(OR(B152="",C152="",D152="",F152=""),"",IF(SUMPRODUCT((Indisponibilités!$A$2:$A$101=F152)*((Indisponibilités!$B$2:$B$101+Indisponibilités!$C$2:$C$101)&lt;(B152+D152))*((Indisponibilités!$D$2:$D$101+Indisponibilités!$E$2:$E$101)&gt;(B152+C152)))&gt;0,"INDISPONIBLE","OK")))</f>
        <v/>
      </c>
      <c r="R152" s="9">
        <f>IF(OR(I152="",K152=""),"",IF(COUNTIFS(Chantiers_Zones!$B$2:$B$101,I152,Chantiers_Zones!$D$2:$D$101,K152,Chantiers_Zones!$E$2:$E$101,"Oui")&gt;0,"OK","ZONE INVALIDE"))</f>
        <v/>
      </c>
      <c r="S152" s="9">
        <f>IF(OR(B152="",I152=""),"",IFERROR(IF(AND(B152&gt;=_xlfn.XLOOKUP(I152,Chantiers_Zones!$B$2:$B$101,Chantiers_Zones!$F$2:$F$101),B152&lt;=_xlfn.XLOOKUP(I152,Chantiers_Zones!$B$2:$B$101,Chantiers_Zones!$G$2:$G$101)),"OK","HORS PÉRIODE"),"CHANTIER INCONNU"))</f>
        <v/>
      </c>
      <c r="T152" s="9">
        <f>IF(COUNTA(A152:D152,F152,I152,K152:O152)=0,"",IF(M152="Annulée","OK",IF(OR(A152="",B152="",C152="",D152="",F152="",I152="",K152="",L152="",M152=""),"INCOMPLET",IF(D152&lt;=C152,"HORAIRES INVALIDES",IF(OR(C152&lt;Paramètres!$B$3,D152&gt;Paramètres!$B$4),"HORS PLAGE",IF(P152&lt;&gt;"OK",P152,IF(Q152&lt;&gt;"OK",Q152,IF(R152&lt;&gt;"OK",R152,IF(S152&lt;&gt;"OK",S152,"OK")))))))))</f>
        <v/>
      </c>
    </row>
    <row r="153">
      <c r="A153" s="12" t="n"/>
      <c r="B153" s="24" t="n"/>
      <c r="C153" s="25" t="n"/>
      <c r="D153" s="25" t="n"/>
      <c r="E153" s="15">
        <f>IF(OR(C153="",D153=""),"",IF(D153&gt;C153,(D153-C153)*24,""))</f>
        <v/>
      </c>
      <c r="F153" s="12" t="n"/>
      <c r="G153" s="16">
        <f>IF(F153="","",IFERROR(_xlfn.XLOOKUP(F153,Intervenants!$A$2:$A$101,Intervenants!$B$2:$B$101),"ID inconnu"))</f>
        <v/>
      </c>
      <c r="H153" s="16">
        <f>IF(F153="","",IFERROR(_xlfn.XLOOKUP(F153,Intervenants!$A$2:$A$101,Intervenants!$C$2:$C$101),"ID inconnu"))</f>
        <v/>
      </c>
      <c r="I153" s="12" t="n"/>
      <c r="J153" s="16">
        <f>IF(I153="","",IFERROR(_xlfn.XLOOKUP(I153,Chantiers_Zones!$B$2:$B$101,Chantiers_Zones!$C$2:$C$101),"CHANTIER INCONNU"))</f>
        <v/>
      </c>
      <c r="K153" s="12" t="n"/>
      <c r="L153" s="12" t="n"/>
      <c r="M153" s="8" t="n"/>
      <c r="N153" s="8" t="n"/>
      <c r="O153" s="17" t="n"/>
      <c r="P153" s="9">
        <f>IF(M153="Annulée","OK",IF(OR(B153="",C153="",D153="",F153=""),"",IF(COUNTIFS($F$7:$F$206,F153,$B$7:$B$206,B153,$C$7:$C$206,"&lt;"&amp;D153,$D$7:$D$206,"&gt;"&amp;C153,$M$7:$M$206,"&lt;&gt;Annulée")&gt;1,"DOUBLE RÉSERVATION","OK")))</f>
        <v/>
      </c>
      <c r="Q153" s="9">
        <f>IF(M153="Annulée","OK",IF(OR(B153="",C153="",D153="",F153=""),"",IF(SUMPRODUCT((Indisponibilités!$A$2:$A$101=F153)*((Indisponibilités!$B$2:$B$101+Indisponibilités!$C$2:$C$101)&lt;(B153+D153))*((Indisponibilités!$D$2:$D$101+Indisponibilités!$E$2:$E$101)&gt;(B153+C153)))&gt;0,"INDISPONIBLE","OK")))</f>
        <v/>
      </c>
      <c r="R153" s="9">
        <f>IF(OR(I153="",K153=""),"",IF(COUNTIFS(Chantiers_Zones!$B$2:$B$101,I153,Chantiers_Zones!$D$2:$D$101,K153,Chantiers_Zones!$E$2:$E$101,"Oui")&gt;0,"OK","ZONE INVALIDE"))</f>
        <v/>
      </c>
      <c r="S153" s="9">
        <f>IF(OR(B153="",I153=""),"",IFERROR(IF(AND(B153&gt;=_xlfn.XLOOKUP(I153,Chantiers_Zones!$B$2:$B$101,Chantiers_Zones!$F$2:$F$101),B153&lt;=_xlfn.XLOOKUP(I153,Chantiers_Zones!$B$2:$B$101,Chantiers_Zones!$G$2:$G$101)),"OK","HORS PÉRIODE"),"CHANTIER INCONNU"))</f>
        <v/>
      </c>
      <c r="T153" s="9">
        <f>IF(COUNTA(A153:D153,F153,I153,K153:O153)=0,"",IF(M153="Annulée","OK",IF(OR(A153="",B153="",C153="",D153="",F153="",I153="",K153="",L153="",M153=""),"INCOMPLET",IF(D153&lt;=C153,"HORAIRES INVALIDES",IF(OR(C153&lt;Paramètres!$B$3,D153&gt;Paramètres!$B$4),"HORS PLAGE",IF(P153&lt;&gt;"OK",P153,IF(Q153&lt;&gt;"OK",Q153,IF(R153&lt;&gt;"OK",R153,IF(S153&lt;&gt;"OK",S153,"OK")))))))))</f>
        <v/>
      </c>
    </row>
    <row r="154">
      <c r="A154" s="12" t="n"/>
      <c r="B154" s="24" t="n"/>
      <c r="C154" s="25" t="n"/>
      <c r="D154" s="25" t="n"/>
      <c r="E154" s="15">
        <f>IF(OR(C154="",D154=""),"",IF(D154&gt;C154,(D154-C154)*24,""))</f>
        <v/>
      </c>
      <c r="F154" s="12" t="n"/>
      <c r="G154" s="16">
        <f>IF(F154="","",IFERROR(_xlfn.XLOOKUP(F154,Intervenants!$A$2:$A$101,Intervenants!$B$2:$B$101),"ID inconnu"))</f>
        <v/>
      </c>
      <c r="H154" s="16">
        <f>IF(F154="","",IFERROR(_xlfn.XLOOKUP(F154,Intervenants!$A$2:$A$101,Intervenants!$C$2:$C$101),"ID inconnu"))</f>
        <v/>
      </c>
      <c r="I154" s="12" t="n"/>
      <c r="J154" s="16">
        <f>IF(I154="","",IFERROR(_xlfn.XLOOKUP(I154,Chantiers_Zones!$B$2:$B$101,Chantiers_Zones!$C$2:$C$101),"CHANTIER INCONNU"))</f>
        <v/>
      </c>
      <c r="K154" s="12" t="n"/>
      <c r="L154" s="12" t="n"/>
      <c r="M154" s="8" t="n"/>
      <c r="N154" s="8" t="n"/>
      <c r="O154" s="17" t="n"/>
      <c r="P154" s="9">
        <f>IF(M154="Annulée","OK",IF(OR(B154="",C154="",D154="",F154=""),"",IF(COUNTIFS($F$7:$F$206,F154,$B$7:$B$206,B154,$C$7:$C$206,"&lt;"&amp;D154,$D$7:$D$206,"&gt;"&amp;C154,$M$7:$M$206,"&lt;&gt;Annulée")&gt;1,"DOUBLE RÉSERVATION","OK")))</f>
        <v/>
      </c>
      <c r="Q154" s="9">
        <f>IF(M154="Annulée","OK",IF(OR(B154="",C154="",D154="",F154=""),"",IF(SUMPRODUCT((Indisponibilités!$A$2:$A$101=F154)*((Indisponibilités!$B$2:$B$101+Indisponibilités!$C$2:$C$101)&lt;(B154+D154))*((Indisponibilités!$D$2:$D$101+Indisponibilités!$E$2:$E$101)&gt;(B154+C154)))&gt;0,"INDISPONIBLE","OK")))</f>
        <v/>
      </c>
      <c r="R154" s="9">
        <f>IF(OR(I154="",K154=""),"",IF(COUNTIFS(Chantiers_Zones!$B$2:$B$101,I154,Chantiers_Zones!$D$2:$D$101,K154,Chantiers_Zones!$E$2:$E$101,"Oui")&gt;0,"OK","ZONE INVALIDE"))</f>
        <v/>
      </c>
      <c r="S154" s="9">
        <f>IF(OR(B154="",I154=""),"",IFERROR(IF(AND(B154&gt;=_xlfn.XLOOKUP(I154,Chantiers_Zones!$B$2:$B$101,Chantiers_Zones!$F$2:$F$101),B154&lt;=_xlfn.XLOOKUP(I154,Chantiers_Zones!$B$2:$B$101,Chantiers_Zones!$G$2:$G$101)),"OK","HORS PÉRIODE"),"CHANTIER INCONNU"))</f>
        <v/>
      </c>
      <c r="T154" s="9">
        <f>IF(COUNTA(A154:D154,F154,I154,K154:O154)=0,"",IF(M154="Annulée","OK",IF(OR(A154="",B154="",C154="",D154="",F154="",I154="",K154="",L154="",M154=""),"INCOMPLET",IF(D154&lt;=C154,"HORAIRES INVALIDES",IF(OR(C154&lt;Paramètres!$B$3,D154&gt;Paramètres!$B$4),"HORS PLAGE",IF(P154&lt;&gt;"OK",P154,IF(Q154&lt;&gt;"OK",Q154,IF(R154&lt;&gt;"OK",R154,IF(S154&lt;&gt;"OK",S154,"OK")))))))))</f>
        <v/>
      </c>
    </row>
    <row r="155">
      <c r="A155" s="12" t="n"/>
      <c r="B155" s="24" t="n"/>
      <c r="C155" s="25" t="n"/>
      <c r="D155" s="25" t="n"/>
      <c r="E155" s="15">
        <f>IF(OR(C155="",D155=""),"",IF(D155&gt;C155,(D155-C155)*24,""))</f>
        <v/>
      </c>
      <c r="F155" s="12" t="n"/>
      <c r="G155" s="16">
        <f>IF(F155="","",IFERROR(_xlfn.XLOOKUP(F155,Intervenants!$A$2:$A$101,Intervenants!$B$2:$B$101),"ID inconnu"))</f>
        <v/>
      </c>
      <c r="H155" s="16">
        <f>IF(F155="","",IFERROR(_xlfn.XLOOKUP(F155,Intervenants!$A$2:$A$101,Intervenants!$C$2:$C$101),"ID inconnu"))</f>
        <v/>
      </c>
      <c r="I155" s="12" t="n"/>
      <c r="J155" s="16">
        <f>IF(I155="","",IFERROR(_xlfn.XLOOKUP(I155,Chantiers_Zones!$B$2:$B$101,Chantiers_Zones!$C$2:$C$101),"CHANTIER INCONNU"))</f>
        <v/>
      </c>
      <c r="K155" s="12" t="n"/>
      <c r="L155" s="12" t="n"/>
      <c r="M155" s="8" t="n"/>
      <c r="N155" s="8" t="n"/>
      <c r="O155" s="17" t="n"/>
      <c r="P155" s="9">
        <f>IF(M155="Annulée","OK",IF(OR(B155="",C155="",D155="",F155=""),"",IF(COUNTIFS($F$7:$F$206,F155,$B$7:$B$206,B155,$C$7:$C$206,"&lt;"&amp;D155,$D$7:$D$206,"&gt;"&amp;C155,$M$7:$M$206,"&lt;&gt;Annulée")&gt;1,"DOUBLE RÉSERVATION","OK")))</f>
        <v/>
      </c>
      <c r="Q155" s="9">
        <f>IF(M155="Annulée","OK",IF(OR(B155="",C155="",D155="",F155=""),"",IF(SUMPRODUCT((Indisponibilités!$A$2:$A$101=F155)*((Indisponibilités!$B$2:$B$101+Indisponibilités!$C$2:$C$101)&lt;(B155+D155))*((Indisponibilités!$D$2:$D$101+Indisponibilités!$E$2:$E$101)&gt;(B155+C155)))&gt;0,"INDISPONIBLE","OK")))</f>
        <v/>
      </c>
      <c r="R155" s="9">
        <f>IF(OR(I155="",K155=""),"",IF(COUNTIFS(Chantiers_Zones!$B$2:$B$101,I155,Chantiers_Zones!$D$2:$D$101,K155,Chantiers_Zones!$E$2:$E$101,"Oui")&gt;0,"OK","ZONE INVALIDE"))</f>
        <v/>
      </c>
      <c r="S155" s="9">
        <f>IF(OR(B155="",I155=""),"",IFERROR(IF(AND(B155&gt;=_xlfn.XLOOKUP(I155,Chantiers_Zones!$B$2:$B$101,Chantiers_Zones!$F$2:$F$101),B155&lt;=_xlfn.XLOOKUP(I155,Chantiers_Zones!$B$2:$B$101,Chantiers_Zones!$G$2:$G$101)),"OK","HORS PÉRIODE"),"CHANTIER INCONNU"))</f>
        <v/>
      </c>
      <c r="T155" s="9">
        <f>IF(COUNTA(A155:D155,F155,I155,K155:O155)=0,"",IF(M155="Annulée","OK",IF(OR(A155="",B155="",C155="",D155="",F155="",I155="",K155="",L155="",M155=""),"INCOMPLET",IF(D155&lt;=C155,"HORAIRES INVALIDES",IF(OR(C155&lt;Paramètres!$B$3,D155&gt;Paramètres!$B$4),"HORS PLAGE",IF(P155&lt;&gt;"OK",P155,IF(Q155&lt;&gt;"OK",Q155,IF(R155&lt;&gt;"OK",R155,IF(S155&lt;&gt;"OK",S155,"OK")))))))))</f>
        <v/>
      </c>
    </row>
    <row r="156">
      <c r="A156" s="12" t="n"/>
      <c r="B156" s="24" t="n"/>
      <c r="C156" s="25" t="n"/>
      <c r="D156" s="25" t="n"/>
      <c r="E156" s="15">
        <f>IF(OR(C156="",D156=""),"",IF(D156&gt;C156,(D156-C156)*24,""))</f>
        <v/>
      </c>
      <c r="F156" s="12" t="n"/>
      <c r="G156" s="16">
        <f>IF(F156="","",IFERROR(_xlfn.XLOOKUP(F156,Intervenants!$A$2:$A$101,Intervenants!$B$2:$B$101),"ID inconnu"))</f>
        <v/>
      </c>
      <c r="H156" s="16">
        <f>IF(F156="","",IFERROR(_xlfn.XLOOKUP(F156,Intervenants!$A$2:$A$101,Intervenants!$C$2:$C$101),"ID inconnu"))</f>
        <v/>
      </c>
      <c r="I156" s="12" t="n"/>
      <c r="J156" s="16">
        <f>IF(I156="","",IFERROR(_xlfn.XLOOKUP(I156,Chantiers_Zones!$B$2:$B$101,Chantiers_Zones!$C$2:$C$101),"CHANTIER INCONNU"))</f>
        <v/>
      </c>
      <c r="K156" s="12" t="n"/>
      <c r="L156" s="12" t="n"/>
      <c r="M156" s="8" t="n"/>
      <c r="N156" s="8" t="n"/>
      <c r="O156" s="17" t="n"/>
      <c r="P156" s="9">
        <f>IF(M156="Annulée","OK",IF(OR(B156="",C156="",D156="",F156=""),"",IF(COUNTIFS($F$7:$F$206,F156,$B$7:$B$206,B156,$C$7:$C$206,"&lt;"&amp;D156,$D$7:$D$206,"&gt;"&amp;C156,$M$7:$M$206,"&lt;&gt;Annulée")&gt;1,"DOUBLE RÉSERVATION","OK")))</f>
        <v/>
      </c>
      <c r="Q156" s="9">
        <f>IF(M156="Annulée","OK",IF(OR(B156="",C156="",D156="",F156=""),"",IF(SUMPRODUCT((Indisponibilités!$A$2:$A$101=F156)*((Indisponibilités!$B$2:$B$101+Indisponibilités!$C$2:$C$101)&lt;(B156+D156))*((Indisponibilités!$D$2:$D$101+Indisponibilités!$E$2:$E$101)&gt;(B156+C156)))&gt;0,"INDISPONIBLE","OK")))</f>
        <v/>
      </c>
      <c r="R156" s="9">
        <f>IF(OR(I156="",K156=""),"",IF(COUNTIFS(Chantiers_Zones!$B$2:$B$101,I156,Chantiers_Zones!$D$2:$D$101,K156,Chantiers_Zones!$E$2:$E$101,"Oui")&gt;0,"OK","ZONE INVALIDE"))</f>
        <v/>
      </c>
      <c r="S156" s="9">
        <f>IF(OR(B156="",I156=""),"",IFERROR(IF(AND(B156&gt;=_xlfn.XLOOKUP(I156,Chantiers_Zones!$B$2:$B$101,Chantiers_Zones!$F$2:$F$101),B156&lt;=_xlfn.XLOOKUP(I156,Chantiers_Zones!$B$2:$B$101,Chantiers_Zones!$G$2:$G$101)),"OK","HORS PÉRIODE"),"CHANTIER INCONNU"))</f>
        <v/>
      </c>
      <c r="T156" s="9">
        <f>IF(COUNTA(A156:D156,F156,I156,K156:O156)=0,"",IF(M156="Annulée","OK",IF(OR(A156="",B156="",C156="",D156="",F156="",I156="",K156="",L156="",M156=""),"INCOMPLET",IF(D156&lt;=C156,"HORAIRES INVALIDES",IF(OR(C156&lt;Paramètres!$B$3,D156&gt;Paramètres!$B$4),"HORS PLAGE",IF(P156&lt;&gt;"OK",P156,IF(Q156&lt;&gt;"OK",Q156,IF(R156&lt;&gt;"OK",R156,IF(S156&lt;&gt;"OK",S156,"OK")))))))))</f>
        <v/>
      </c>
    </row>
    <row r="157">
      <c r="A157" s="12" t="n"/>
      <c r="B157" s="24" t="n"/>
      <c r="C157" s="25" t="n"/>
      <c r="D157" s="25" t="n"/>
      <c r="E157" s="15">
        <f>IF(OR(C157="",D157=""),"",IF(D157&gt;C157,(D157-C157)*24,""))</f>
        <v/>
      </c>
      <c r="F157" s="12" t="n"/>
      <c r="G157" s="16">
        <f>IF(F157="","",IFERROR(_xlfn.XLOOKUP(F157,Intervenants!$A$2:$A$101,Intervenants!$B$2:$B$101),"ID inconnu"))</f>
        <v/>
      </c>
      <c r="H157" s="16">
        <f>IF(F157="","",IFERROR(_xlfn.XLOOKUP(F157,Intervenants!$A$2:$A$101,Intervenants!$C$2:$C$101),"ID inconnu"))</f>
        <v/>
      </c>
      <c r="I157" s="12" t="n"/>
      <c r="J157" s="16">
        <f>IF(I157="","",IFERROR(_xlfn.XLOOKUP(I157,Chantiers_Zones!$B$2:$B$101,Chantiers_Zones!$C$2:$C$101),"CHANTIER INCONNU"))</f>
        <v/>
      </c>
      <c r="K157" s="12" t="n"/>
      <c r="L157" s="12" t="n"/>
      <c r="M157" s="8" t="n"/>
      <c r="N157" s="8" t="n"/>
      <c r="O157" s="17" t="n"/>
      <c r="P157" s="9">
        <f>IF(M157="Annulée","OK",IF(OR(B157="",C157="",D157="",F157=""),"",IF(COUNTIFS($F$7:$F$206,F157,$B$7:$B$206,B157,$C$7:$C$206,"&lt;"&amp;D157,$D$7:$D$206,"&gt;"&amp;C157,$M$7:$M$206,"&lt;&gt;Annulée")&gt;1,"DOUBLE RÉSERVATION","OK")))</f>
        <v/>
      </c>
      <c r="Q157" s="9">
        <f>IF(M157="Annulée","OK",IF(OR(B157="",C157="",D157="",F157=""),"",IF(SUMPRODUCT((Indisponibilités!$A$2:$A$101=F157)*((Indisponibilités!$B$2:$B$101+Indisponibilités!$C$2:$C$101)&lt;(B157+D157))*((Indisponibilités!$D$2:$D$101+Indisponibilités!$E$2:$E$101)&gt;(B157+C157)))&gt;0,"INDISPONIBLE","OK")))</f>
        <v/>
      </c>
      <c r="R157" s="9">
        <f>IF(OR(I157="",K157=""),"",IF(COUNTIFS(Chantiers_Zones!$B$2:$B$101,I157,Chantiers_Zones!$D$2:$D$101,K157,Chantiers_Zones!$E$2:$E$101,"Oui")&gt;0,"OK","ZONE INVALIDE"))</f>
        <v/>
      </c>
      <c r="S157" s="9">
        <f>IF(OR(B157="",I157=""),"",IFERROR(IF(AND(B157&gt;=_xlfn.XLOOKUP(I157,Chantiers_Zones!$B$2:$B$101,Chantiers_Zones!$F$2:$F$101),B157&lt;=_xlfn.XLOOKUP(I157,Chantiers_Zones!$B$2:$B$101,Chantiers_Zones!$G$2:$G$101)),"OK","HORS PÉRIODE"),"CHANTIER INCONNU"))</f>
        <v/>
      </c>
      <c r="T157" s="9">
        <f>IF(COUNTA(A157:D157,F157,I157,K157:O157)=0,"",IF(M157="Annulée","OK",IF(OR(A157="",B157="",C157="",D157="",F157="",I157="",K157="",L157="",M157=""),"INCOMPLET",IF(D157&lt;=C157,"HORAIRES INVALIDES",IF(OR(C157&lt;Paramètres!$B$3,D157&gt;Paramètres!$B$4),"HORS PLAGE",IF(P157&lt;&gt;"OK",P157,IF(Q157&lt;&gt;"OK",Q157,IF(R157&lt;&gt;"OK",R157,IF(S157&lt;&gt;"OK",S157,"OK")))))))))</f>
        <v/>
      </c>
    </row>
    <row r="158">
      <c r="A158" s="12" t="n"/>
      <c r="B158" s="24" t="n"/>
      <c r="C158" s="25" t="n"/>
      <c r="D158" s="25" t="n"/>
      <c r="E158" s="15">
        <f>IF(OR(C158="",D158=""),"",IF(D158&gt;C158,(D158-C158)*24,""))</f>
        <v/>
      </c>
      <c r="F158" s="12" t="n"/>
      <c r="G158" s="16">
        <f>IF(F158="","",IFERROR(_xlfn.XLOOKUP(F158,Intervenants!$A$2:$A$101,Intervenants!$B$2:$B$101),"ID inconnu"))</f>
        <v/>
      </c>
      <c r="H158" s="16">
        <f>IF(F158="","",IFERROR(_xlfn.XLOOKUP(F158,Intervenants!$A$2:$A$101,Intervenants!$C$2:$C$101),"ID inconnu"))</f>
        <v/>
      </c>
      <c r="I158" s="12" t="n"/>
      <c r="J158" s="16">
        <f>IF(I158="","",IFERROR(_xlfn.XLOOKUP(I158,Chantiers_Zones!$B$2:$B$101,Chantiers_Zones!$C$2:$C$101),"CHANTIER INCONNU"))</f>
        <v/>
      </c>
      <c r="K158" s="12" t="n"/>
      <c r="L158" s="12" t="n"/>
      <c r="M158" s="8" t="n"/>
      <c r="N158" s="8" t="n"/>
      <c r="O158" s="17" t="n"/>
      <c r="P158" s="9">
        <f>IF(M158="Annulée","OK",IF(OR(B158="",C158="",D158="",F158=""),"",IF(COUNTIFS($F$7:$F$206,F158,$B$7:$B$206,B158,$C$7:$C$206,"&lt;"&amp;D158,$D$7:$D$206,"&gt;"&amp;C158,$M$7:$M$206,"&lt;&gt;Annulée")&gt;1,"DOUBLE RÉSERVATION","OK")))</f>
        <v/>
      </c>
      <c r="Q158" s="9">
        <f>IF(M158="Annulée","OK",IF(OR(B158="",C158="",D158="",F158=""),"",IF(SUMPRODUCT((Indisponibilités!$A$2:$A$101=F158)*((Indisponibilités!$B$2:$B$101+Indisponibilités!$C$2:$C$101)&lt;(B158+D158))*((Indisponibilités!$D$2:$D$101+Indisponibilités!$E$2:$E$101)&gt;(B158+C158)))&gt;0,"INDISPONIBLE","OK")))</f>
        <v/>
      </c>
      <c r="R158" s="9">
        <f>IF(OR(I158="",K158=""),"",IF(COUNTIFS(Chantiers_Zones!$B$2:$B$101,I158,Chantiers_Zones!$D$2:$D$101,K158,Chantiers_Zones!$E$2:$E$101,"Oui")&gt;0,"OK","ZONE INVALIDE"))</f>
        <v/>
      </c>
      <c r="S158" s="9">
        <f>IF(OR(B158="",I158=""),"",IFERROR(IF(AND(B158&gt;=_xlfn.XLOOKUP(I158,Chantiers_Zones!$B$2:$B$101,Chantiers_Zones!$F$2:$F$101),B158&lt;=_xlfn.XLOOKUP(I158,Chantiers_Zones!$B$2:$B$101,Chantiers_Zones!$G$2:$G$101)),"OK","HORS PÉRIODE"),"CHANTIER INCONNU"))</f>
        <v/>
      </c>
      <c r="T158" s="9">
        <f>IF(COUNTA(A158:D158,F158,I158,K158:O158)=0,"",IF(M158="Annulée","OK",IF(OR(A158="",B158="",C158="",D158="",F158="",I158="",K158="",L158="",M158=""),"INCOMPLET",IF(D158&lt;=C158,"HORAIRES INVALIDES",IF(OR(C158&lt;Paramètres!$B$3,D158&gt;Paramètres!$B$4),"HORS PLAGE",IF(P158&lt;&gt;"OK",P158,IF(Q158&lt;&gt;"OK",Q158,IF(R158&lt;&gt;"OK",R158,IF(S158&lt;&gt;"OK",S158,"OK")))))))))</f>
        <v/>
      </c>
    </row>
    <row r="159">
      <c r="A159" s="12" t="n"/>
      <c r="B159" s="24" t="n"/>
      <c r="C159" s="25" t="n"/>
      <c r="D159" s="25" t="n"/>
      <c r="E159" s="15">
        <f>IF(OR(C159="",D159=""),"",IF(D159&gt;C159,(D159-C159)*24,""))</f>
        <v/>
      </c>
      <c r="F159" s="12" t="n"/>
      <c r="G159" s="16">
        <f>IF(F159="","",IFERROR(_xlfn.XLOOKUP(F159,Intervenants!$A$2:$A$101,Intervenants!$B$2:$B$101),"ID inconnu"))</f>
        <v/>
      </c>
      <c r="H159" s="16">
        <f>IF(F159="","",IFERROR(_xlfn.XLOOKUP(F159,Intervenants!$A$2:$A$101,Intervenants!$C$2:$C$101),"ID inconnu"))</f>
        <v/>
      </c>
      <c r="I159" s="12" t="n"/>
      <c r="J159" s="16">
        <f>IF(I159="","",IFERROR(_xlfn.XLOOKUP(I159,Chantiers_Zones!$B$2:$B$101,Chantiers_Zones!$C$2:$C$101),"CHANTIER INCONNU"))</f>
        <v/>
      </c>
      <c r="K159" s="12" t="n"/>
      <c r="L159" s="12" t="n"/>
      <c r="M159" s="8" t="n"/>
      <c r="N159" s="8" t="n"/>
      <c r="O159" s="17" t="n"/>
      <c r="P159" s="9">
        <f>IF(M159="Annulée","OK",IF(OR(B159="",C159="",D159="",F159=""),"",IF(COUNTIFS($F$7:$F$206,F159,$B$7:$B$206,B159,$C$7:$C$206,"&lt;"&amp;D159,$D$7:$D$206,"&gt;"&amp;C159,$M$7:$M$206,"&lt;&gt;Annulée")&gt;1,"DOUBLE RÉSERVATION","OK")))</f>
        <v/>
      </c>
      <c r="Q159" s="9">
        <f>IF(M159="Annulée","OK",IF(OR(B159="",C159="",D159="",F159=""),"",IF(SUMPRODUCT((Indisponibilités!$A$2:$A$101=F159)*((Indisponibilités!$B$2:$B$101+Indisponibilités!$C$2:$C$101)&lt;(B159+D159))*((Indisponibilités!$D$2:$D$101+Indisponibilités!$E$2:$E$101)&gt;(B159+C159)))&gt;0,"INDISPONIBLE","OK")))</f>
        <v/>
      </c>
      <c r="R159" s="9">
        <f>IF(OR(I159="",K159=""),"",IF(COUNTIFS(Chantiers_Zones!$B$2:$B$101,I159,Chantiers_Zones!$D$2:$D$101,K159,Chantiers_Zones!$E$2:$E$101,"Oui")&gt;0,"OK","ZONE INVALIDE"))</f>
        <v/>
      </c>
      <c r="S159" s="9">
        <f>IF(OR(B159="",I159=""),"",IFERROR(IF(AND(B159&gt;=_xlfn.XLOOKUP(I159,Chantiers_Zones!$B$2:$B$101,Chantiers_Zones!$F$2:$F$101),B159&lt;=_xlfn.XLOOKUP(I159,Chantiers_Zones!$B$2:$B$101,Chantiers_Zones!$G$2:$G$101)),"OK","HORS PÉRIODE"),"CHANTIER INCONNU"))</f>
        <v/>
      </c>
      <c r="T159" s="9">
        <f>IF(COUNTA(A159:D159,F159,I159,K159:O159)=0,"",IF(M159="Annulée","OK",IF(OR(A159="",B159="",C159="",D159="",F159="",I159="",K159="",L159="",M159=""),"INCOMPLET",IF(D159&lt;=C159,"HORAIRES INVALIDES",IF(OR(C159&lt;Paramètres!$B$3,D159&gt;Paramètres!$B$4),"HORS PLAGE",IF(P159&lt;&gt;"OK",P159,IF(Q159&lt;&gt;"OK",Q159,IF(R159&lt;&gt;"OK",R159,IF(S159&lt;&gt;"OK",S159,"OK")))))))))</f>
        <v/>
      </c>
    </row>
    <row r="160">
      <c r="A160" s="12" t="n"/>
      <c r="B160" s="24" t="n"/>
      <c r="C160" s="25" t="n"/>
      <c r="D160" s="25" t="n"/>
      <c r="E160" s="15">
        <f>IF(OR(C160="",D160=""),"",IF(D160&gt;C160,(D160-C160)*24,""))</f>
        <v/>
      </c>
      <c r="F160" s="12" t="n"/>
      <c r="G160" s="16">
        <f>IF(F160="","",IFERROR(_xlfn.XLOOKUP(F160,Intervenants!$A$2:$A$101,Intervenants!$B$2:$B$101),"ID inconnu"))</f>
        <v/>
      </c>
      <c r="H160" s="16">
        <f>IF(F160="","",IFERROR(_xlfn.XLOOKUP(F160,Intervenants!$A$2:$A$101,Intervenants!$C$2:$C$101),"ID inconnu"))</f>
        <v/>
      </c>
      <c r="I160" s="12" t="n"/>
      <c r="J160" s="16">
        <f>IF(I160="","",IFERROR(_xlfn.XLOOKUP(I160,Chantiers_Zones!$B$2:$B$101,Chantiers_Zones!$C$2:$C$101),"CHANTIER INCONNU"))</f>
        <v/>
      </c>
      <c r="K160" s="12" t="n"/>
      <c r="L160" s="12" t="n"/>
      <c r="M160" s="8" t="n"/>
      <c r="N160" s="8" t="n"/>
      <c r="O160" s="17" t="n"/>
      <c r="P160" s="9">
        <f>IF(M160="Annulée","OK",IF(OR(B160="",C160="",D160="",F160=""),"",IF(COUNTIFS($F$7:$F$206,F160,$B$7:$B$206,B160,$C$7:$C$206,"&lt;"&amp;D160,$D$7:$D$206,"&gt;"&amp;C160,$M$7:$M$206,"&lt;&gt;Annulée")&gt;1,"DOUBLE RÉSERVATION","OK")))</f>
        <v/>
      </c>
      <c r="Q160" s="9">
        <f>IF(M160="Annulée","OK",IF(OR(B160="",C160="",D160="",F160=""),"",IF(SUMPRODUCT((Indisponibilités!$A$2:$A$101=F160)*((Indisponibilités!$B$2:$B$101+Indisponibilités!$C$2:$C$101)&lt;(B160+D160))*((Indisponibilités!$D$2:$D$101+Indisponibilités!$E$2:$E$101)&gt;(B160+C160)))&gt;0,"INDISPONIBLE","OK")))</f>
        <v/>
      </c>
      <c r="R160" s="9">
        <f>IF(OR(I160="",K160=""),"",IF(COUNTIFS(Chantiers_Zones!$B$2:$B$101,I160,Chantiers_Zones!$D$2:$D$101,K160,Chantiers_Zones!$E$2:$E$101,"Oui")&gt;0,"OK","ZONE INVALIDE"))</f>
        <v/>
      </c>
      <c r="S160" s="9">
        <f>IF(OR(B160="",I160=""),"",IFERROR(IF(AND(B160&gt;=_xlfn.XLOOKUP(I160,Chantiers_Zones!$B$2:$B$101,Chantiers_Zones!$F$2:$F$101),B160&lt;=_xlfn.XLOOKUP(I160,Chantiers_Zones!$B$2:$B$101,Chantiers_Zones!$G$2:$G$101)),"OK","HORS PÉRIODE"),"CHANTIER INCONNU"))</f>
        <v/>
      </c>
      <c r="T160" s="9">
        <f>IF(COUNTA(A160:D160,F160,I160,K160:O160)=0,"",IF(M160="Annulée","OK",IF(OR(A160="",B160="",C160="",D160="",F160="",I160="",K160="",L160="",M160=""),"INCOMPLET",IF(D160&lt;=C160,"HORAIRES INVALIDES",IF(OR(C160&lt;Paramètres!$B$3,D160&gt;Paramètres!$B$4),"HORS PLAGE",IF(P160&lt;&gt;"OK",P160,IF(Q160&lt;&gt;"OK",Q160,IF(R160&lt;&gt;"OK",R160,IF(S160&lt;&gt;"OK",S160,"OK")))))))))</f>
        <v/>
      </c>
    </row>
    <row r="161">
      <c r="A161" s="12" t="n"/>
      <c r="B161" s="24" t="n"/>
      <c r="C161" s="25" t="n"/>
      <c r="D161" s="25" t="n"/>
      <c r="E161" s="15">
        <f>IF(OR(C161="",D161=""),"",IF(D161&gt;C161,(D161-C161)*24,""))</f>
        <v/>
      </c>
      <c r="F161" s="12" t="n"/>
      <c r="G161" s="16">
        <f>IF(F161="","",IFERROR(_xlfn.XLOOKUP(F161,Intervenants!$A$2:$A$101,Intervenants!$B$2:$B$101),"ID inconnu"))</f>
        <v/>
      </c>
      <c r="H161" s="16">
        <f>IF(F161="","",IFERROR(_xlfn.XLOOKUP(F161,Intervenants!$A$2:$A$101,Intervenants!$C$2:$C$101),"ID inconnu"))</f>
        <v/>
      </c>
      <c r="I161" s="12" t="n"/>
      <c r="J161" s="16">
        <f>IF(I161="","",IFERROR(_xlfn.XLOOKUP(I161,Chantiers_Zones!$B$2:$B$101,Chantiers_Zones!$C$2:$C$101),"CHANTIER INCONNU"))</f>
        <v/>
      </c>
      <c r="K161" s="12" t="n"/>
      <c r="L161" s="12" t="n"/>
      <c r="M161" s="8" t="n"/>
      <c r="N161" s="8" t="n"/>
      <c r="O161" s="17" t="n"/>
      <c r="P161" s="9">
        <f>IF(M161="Annulée","OK",IF(OR(B161="",C161="",D161="",F161=""),"",IF(COUNTIFS($F$7:$F$206,F161,$B$7:$B$206,B161,$C$7:$C$206,"&lt;"&amp;D161,$D$7:$D$206,"&gt;"&amp;C161,$M$7:$M$206,"&lt;&gt;Annulée")&gt;1,"DOUBLE RÉSERVATION","OK")))</f>
        <v/>
      </c>
      <c r="Q161" s="9">
        <f>IF(M161="Annulée","OK",IF(OR(B161="",C161="",D161="",F161=""),"",IF(SUMPRODUCT((Indisponibilités!$A$2:$A$101=F161)*((Indisponibilités!$B$2:$B$101+Indisponibilités!$C$2:$C$101)&lt;(B161+D161))*((Indisponibilités!$D$2:$D$101+Indisponibilités!$E$2:$E$101)&gt;(B161+C161)))&gt;0,"INDISPONIBLE","OK")))</f>
        <v/>
      </c>
      <c r="R161" s="9">
        <f>IF(OR(I161="",K161=""),"",IF(COUNTIFS(Chantiers_Zones!$B$2:$B$101,I161,Chantiers_Zones!$D$2:$D$101,K161,Chantiers_Zones!$E$2:$E$101,"Oui")&gt;0,"OK","ZONE INVALIDE"))</f>
        <v/>
      </c>
      <c r="S161" s="9">
        <f>IF(OR(B161="",I161=""),"",IFERROR(IF(AND(B161&gt;=_xlfn.XLOOKUP(I161,Chantiers_Zones!$B$2:$B$101,Chantiers_Zones!$F$2:$F$101),B161&lt;=_xlfn.XLOOKUP(I161,Chantiers_Zones!$B$2:$B$101,Chantiers_Zones!$G$2:$G$101)),"OK","HORS PÉRIODE"),"CHANTIER INCONNU"))</f>
        <v/>
      </c>
      <c r="T161" s="9">
        <f>IF(COUNTA(A161:D161,F161,I161,K161:O161)=0,"",IF(M161="Annulée","OK",IF(OR(A161="",B161="",C161="",D161="",F161="",I161="",K161="",L161="",M161=""),"INCOMPLET",IF(D161&lt;=C161,"HORAIRES INVALIDES",IF(OR(C161&lt;Paramètres!$B$3,D161&gt;Paramètres!$B$4),"HORS PLAGE",IF(P161&lt;&gt;"OK",P161,IF(Q161&lt;&gt;"OK",Q161,IF(R161&lt;&gt;"OK",R161,IF(S161&lt;&gt;"OK",S161,"OK")))))))))</f>
        <v/>
      </c>
    </row>
    <row r="162">
      <c r="A162" s="12" t="n"/>
      <c r="B162" s="24" t="n"/>
      <c r="C162" s="25" t="n"/>
      <c r="D162" s="25" t="n"/>
      <c r="E162" s="15">
        <f>IF(OR(C162="",D162=""),"",IF(D162&gt;C162,(D162-C162)*24,""))</f>
        <v/>
      </c>
      <c r="F162" s="12" t="n"/>
      <c r="G162" s="16">
        <f>IF(F162="","",IFERROR(_xlfn.XLOOKUP(F162,Intervenants!$A$2:$A$101,Intervenants!$B$2:$B$101),"ID inconnu"))</f>
        <v/>
      </c>
      <c r="H162" s="16">
        <f>IF(F162="","",IFERROR(_xlfn.XLOOKUP(F162,Intervenants!$A$2:$A$101,Intervenants!$C$2:$C$101),"ID inconnu"))</f>
        <v/>
      </c>
      <c r="I162" s="12" t="n"/>
      <c r="J162" s="16">
        <f>IF(I162="","",IFERROR(_xlfn.XLOOKUP(I162,Chantiers_Zones!$B$2:$B$101,Chantiers_Zones!$C$2:$C$101),"CHANTIER INCONNU"))</f>
        <v/>
      </c>
      <c r="K162" s="12" t="n"/>
      <c r="L162" s="12" t="n"/>
      <c r="M162" s="8" t="n"/>
      <c r="N162" s="8" t="n"/>
      <c r="O162" s="17" t="n"/>
      <c r="P162" s="9">
        <f>IF(M162="Annulée","OK",IF(OR(B162="",C162="",D162="",F162=""),"",IF(COUNTIFS($F$7:$F$206,F162,$B$7:$B$206,B162,$C$7:$C$206,"&lt;"&amp;D162,$D$7:$D$206,"&gt;"&amp;C162,$M$7:$M$206,"&lt;&gt;Annulée")&gt;1,"DOUBLE RÉSERVATION","OK")))</f>
        <v/>
      </c>
      <c r="Q162" s="9">
        <f>IF(M162="Annulée","OK",IF(OR(B162="",C162="",D162="",F162=""),"",IF(SUMPRODUCT((Indisponibilités!$A$2:$A$101=F162)*((Indisponibilités!$B$2:$B$101+Indisponibilités!$C$2:$C$101)&lt;(B162+D162))*((Indisponibilités!$D$2:$D$101+Indisponibilités!$E$2:$E$101)&gt;(B162+C162)))&gt;0,"INDISPONIBLE","OK")))</f>
        <v/>
      </c>
      <c r="R162" s="9">
        <f>IF(OR(I162="",K162=""),"",IF(COUNTIFS(Chantiers_Zones!$B$2:$B$101,I162,Chantiers_Zones!$D$2:$D$101,K162,Chantiers_Zones!$E$2:$E$101,"Oui")&gt;0,"OK","ZONE INVALIDE"))</f>
        <v/>
      </c>
      <c r="S162" s="9">
        <f>IF(OR(B162="",I162=""),"",IFERROR(IF(AND(B162&gt;=_xlfn.XLOOKUP(I162,Chantiers_Zones!$B$2:$B$101,Chantiers_Zones!$F$2:$F$101),B162&lt;=_xlfn.XLOOKUP(I162,Chantiers_Zones!$B$2:$B$101,Chantiers_Zones!$G$2:$G$101)),"OK","HORS PÉRIODE"),"CHANTIER INCONNU"))</f>
        <v/>
      </c>
      <c r="T162" s="9">
        <f>IF(COUNTA(A162:D162,F162,I162,K162:O162)=0,"",IF(M162="Annulée","OK",IF(OR(A162="",B162="",C162="",D162="",F162="",I162="",K162="",L162="",M162=""),"INCOMPLET",IF(D162&lt;=C162,"HORAIRES INVALIDES",IF(OR(C162&lt;Paramètres!$B$3,D162&gt;Paramètres!$B$4),"HORS PLAGE",IF(P162&lt;&gt;"OK",P162,IF(Q162&lt;&gt;"OK",Q162,IF(R162&lt;&gt;"OK",R162,IF(S162&lt;&gt;"OK",S162,"OK")))))))))</f>
        <v/>
      </c>
    </row>
    <row r="163">
      <c r="A163" s="12" t="n"/>
      <c r="B163" s="24" t="n"/>
      <c r="C163" s="25" t="n"/>
      <c r="D163" s="25" t="n"/>
      <c r="E163" s="15">
        <f>IF(OR(C163="",D163=""),"",IF(D163&gt;C163,(D163-C163)*24,""))</f>
        <v/>
      </c>
      <c r="F163" s="12" t="n"/>
      <c r="G163" s="16">
        <f>IF(F163="","",IFERROR(_xlfn.XLOOKUP(F163,Intervenants!$A$2:$A$101,Intervenants!$B$2:$B$101),"ID inconnu"))</f>
        <v/>
      </c>
      <c r="H163" s="16">
        <f>IF(F163="","",IFERROR(_xlfn.XLOOKUP(F163,Intervenants!$A$2:$A$101,Intervenants!$C$2:$C$101),"ID inconnu"))</f>
        <v/>
      </c>
      <c r="I163" s="12" t="n"/>
      <c r="J163" s="16">
        <f>IF(I163="","",IFERROR(_xlfn.XLOOKUP(I163,Chantiers_Zones!$B$2:$B$101,Chantiers_Zones!$C$2:$C$101),"CHANTIER INCONNU"))</f>
        <v/>
      </c>
      <c r="K163" s="12" t="n"/>
      <c r="L163" s="12" t="n"/>
      <c r="M163" s="8" t="n"/>
      <c r="N163" s="8" t="n"/>
      <c r="O163" s="17" t="n"/>
      <c r="P163" s="9">
        <f>IF(M163="Annulée","OK",IF(OR(B163="",C163="",D163="",F163=""),"",IF(COUNTIFS($F$7:$F$206,F163,$B$7:$B$206,B163,$C$7:$C$206,"&lt;"&amp;D163,$D$7:$D$206,"&gt;"&amp;C163,$M$7:$M$206,"&lt;&gt;Annulée")&gt;1,"DOUBLE RÉSERVATION","OK")))</f>
        <v/>
      </c>
      <c r="Q163" s="9">
        <f>IF(M163="Annulée","OK",IF(OR(B163="",C163="",D163="",F163=""),"",IF(SUMPRODUCT((Indisponibilités!$A$2:$A$101=F163)*((Indisponibilités!$B$2:$B$101+Indisponibilités!$C$2:$C$101)&lt;(B163+D163))*((Indisponibilités!$D$2:$D$101+Indisponibilités!$E$2:$E$101)&gt;(B163+C163)))&gt;0,"INDISPONIBLE","OK")))</f>
        <v/>
      </c>
      <c r="R163" s="9">
        <f>IF(OR(I163="",K163=""),"",IF(COUNTIFS(Chantiers_Zones!$B$2:$B$101,I163,Chantiers_Zones!$D$2:$D$101,K163,Chantiers_Zones!$E$2:$E$101,"Oui")&gt;0,"OK","ZONE INVALIDE"))</f>
        <v/>
      </c>
      <c r="S163" s="9">
        <f>IF(OR(B163="",I163=""),"",IFERROR(IF(AND(B163&gt;=_xlfn.XLOOKUP(I163,Chantiers_Zones!$B$2:$B$101,Chantiers_Zones!$F$2:$F$101),B163&lt;=_xlfn.XLOOKUP(I163,Chantiers_Zones!$B$2:$B$101,Chantiers_Zones!$G$2:$G$101)),"OK","HORS PÉRIODE"),"CHANTIER INCONNU"))</f>
        <v/>
      </c>
      <c r="T163" s="9">
        <f>IF(COUNTA(A163:D163,F163,I163,K163:O163)=0,"",IF(M163="Annulée","OK",IF(OR(A163="",B163="",C163="",D163="",F163="",I163="",K163="",L163="",M163=""),"INCOMPLET",IF(D163&lt;=C163,"HORAIRES INVALIDES",IF(OR(C163&lt;Paramètres!$B$3,D163&gt;Paramètres!$B$4),"HORS PLAGE",IF(P163&lt;&gt;"OK",P163,IF(Q163&lt;&gt;"OK",Q163,IF(R163&lt;&gt;"OK",R163,IF(S163&lt;&gt;"OK",S163,"OK")))))))))</f>
        <v/>
      </c>
    </row>
    <row r="164">
      <c r="A164" s="12" t="n"/>
      <c r="B164" s="24" t="n"/>
      <c r="C164" s="25" t="n"/>
      <c r="D164" s="25" t="n"/>
      <c r="E164" s="15">
        <f>IF(OR(C164="",D164=""),"",IF(D164&gt;C164,(D164-C164)*24,""))</f>
        <v/>
      </c>
      <c r="F164" s="12" t="n"/>
      <c r="G164" s="16">
        <f>IF(F164="","",IFERROR(_xlfn.XLOOKUP(F164,Intervenants!$A$2:$A$101,Intervenants!$B$2:$B$101),"ID inconnu"))</f>
        <v/>
      </c>
      <c r="H164" s="16">
        <f>IF(F164="","",IFERROR(_xlfn.XLOOKUP(F164,Intervenants!$A$2:$A$101,Intervenants!$C$2:$C$101),"ID inconnu"))</f>
        <v/>
      </c>
      <c r="I164" s="12" t="n"/>
      <c r="J164" s="16">
        <f>IF(I164="","",IFERROR(_xlfn.XLOOKUP(I164,Chantiers_Zones!$B$2:$B$101,Chantiers_Zones!$C$2:$C$101),"CHANTIER INCONNU"))</f>
        <v/>
      </c>
      <c r="K164" s="12" t="n"/>
      <c r="L164" s="12" t="n"/>
      <c r="M164" s="8" t="n"/>
      <c r="N164" s="8" t="n"/>
      <c r="O164" s="17" t="n"/>
      <c r="P164" s="9">
        <f>IF(M164="Annulée","OK",IF(OR(B164="",C164="",D164="",F164=""),"",IF(COUNTIFS($F$7:$F$206,F164,$B$7:$B$206,B164,$C$7:$C$206,"&lt;"&amp;D164,$D$7:$D$206,"&gt;"&amp;C164,$M$7:$M$206,"&lt;&gt;Annulée")&gt;1,"DOUBLE RÉSERVATION","OK")))</f>
        <v/>
      </c>
      <c r="Q164" s="9">
        <f>IF(M164="Annulée","OK",IF(OR(B164="",C164="",D164="",F164=""),"",IF(SUMPRODUCT((Indisponibilités!$A$2:$A$101=F164)*((Indisponibilités!$B$2:$B$101+Indisponibilités!$C$2:$C$101)&lt;(B164+D164))*((Indisponibilités!$D$2:$D$101+Indisponibilités!$E$2:$E$101)&gt;(B164+C164)))&gt;0,"INDISPONIBLE","OK")))</f>
        <v/>
      </c>
      <c r="R164" s="9">
        <f>IF(OR(I164="",K164=""),"",IF(COUNTIFS(Chantiers_Zones!$B$2:$B$101,I164,Chantiers_Zones!$D$2:$D$101,K164,Chantiers_Zones!$E$2:$E$101,"Oui")&gt;0,"OK","ZONE INVALIDE"))</f>
        <v/>
      </c>
      <c r="S164" s="9">
        <f>IF(OR(B164="",I164=""),"",IFERROR(IF(AND(B164&gt;=_xlfn.XLOOKUP(I164,Chantiers_Zones!$B$2:$B$101,Chantiers_Zones!$F$2:$F$101),B164&lt;=_xlfn.XLOOKUP(I164,Chantiers_Zones!$B$2:$B$101,Chantiers_Zones!$G$2:$G$101)),"OK","HORS PÉRIODE"),"CHANTIER INCONNU"))</f>
        <v/>
      </c>
      <c r="T164" s="9">
        <f>IF(COUNTA(A164:D164,F164,I164,K164:O164)=0,"",IF(M164="Annulée","OK",IF(OR(A164="",B164="",C164="",D164="",F164="",I164="",K164="",L164="",M164=""),"INCOMPLET",IF(D164&lt;=C164,"HORAIRES INVALIDES",IF(OR(C164&lt;Paramètres!$B$3,D164&gt;Paramètres!$B$4),"HORS PLAGE",IF(P164&lt;&gt;"OK",P164,IF(Q164&lt;&gt;"OK",Q164,IF(R164&lt;&gt;"OK",R164,IF(S164&lt;&gt;"OK",S164,"OK")))))))))</f>
        <v/>
      </c>
    </row>
    <row r="165">
      <c r="A165" s="12" t="n"/>
      <c r="B165" s="24" t="n"/>
      <c r="C165" s="25" t="n"/>
      <c r="D165" s="25" t="n"/>
      <c r="E165" s="15">
        <f>IF(OR(C165="",D165=""),"",IF(D165&gt;C165,(D165-C165)*24,""))</f>
        <v/>
      </c>
      <c r="F165" s="12" t="n"/>
      <c r="G165" s="16">
        <f>IF(F165="","",IFERROR(_xlfn.XLOOKUP(F165,Intervenants!$A$2:$A$101,Intervenants!$B$2:$B$101),"ID inconnu"))</f>
        <v/>
      </c>
      <c r="H165" s="16">
        <f>IF(F165="","",IFERROR(_xlfn.XLOOKUP(F165,Intervenants!$A$2:$A$101,Intervenants!$C$2:$C$101),"ID inconnu"))</f>
        <v/>
      </c>
      <c r="I165" s="12" t="n"/>
      <c r="J165" s="16">
        <f>IF(I165="","",IFERROR(_xlfn.XLOOKUP(I165,Chantiers_Zones!$B$2:$B$101,Chantiers_Zones!$C$2:$C$101),"CHANTIER INCONNU"))</f>
        <v/>
      </c>
      <c r="K165" s="12" t="n"/>
      <c r="L165" s="12" t="n"/>
      <c r="M165" s="8" t="n"/>
      <c r="N165" s="8" t="n"/>
      <c r="O165" s="17" t="n"/>
      <c r="P165" s="9">
        <f>IF(M165="Annulée","OK",IF(OR(B165="",C165="",D165="",F165=""),"",IF(COUNTIFS($F$7:$F$206,F165,$B$7:$B$206,B165,$C$7:$C$206,"&lt;"&amp;D165,$D$7:$D$206,"&gt;"&amp;C165,$M$7:$M$206,"&lt;&gt;Annulée")&gt;1,"DOUBLE RÉSERVATION","OK")))</f>
        <v/>
      </c>
      <c r="Q165" s="9">
        <f>IF(M165="Annulée","OK",IF(OR(B165="",C165="",D165="",F165=""),"",IF(SUMPRODUCT((Indisponibilités!$A$2:$A$101=F165)*((Indisponibilités!$B$2:$B$101+Indisponibilités!$C$2:$C$101)&lt;(B165+D165))*((Indisponibilités!$D$2:$D$101+Indisponibilités!$E$2:$E$101)&gt;(B165+C165)))&gt;0,"INDISPONIBLE","OK")))</f>
        <v/>
      </c>
      <c r="R165" s="9">
        <f>IF(OR(I165="",K165=""),"",IF(COUNTIFS(Chantiers_Zones!$B$2:$B$101,I165,Chantiers_Zones!$D$2:$D$101,K165,Chantiers_Zones!$E$2:$E$101,"Oui")&gt;0,"OK","ZONE INVALIDE"))</f>
        <v/>
      </c>
      <c r="S165" s="9">
        <f>IF(OR(B165="",I165=""),"",IFERROR(IF(AND(B165&gt;=_xlfn.XLOOKUP(I165,Chantiers_Zones!$B$2:$B$101,Chantiers_Zones!$F$2:$F$101),B165&lt;=_xlfn.XLOOKUP(I165,Chantiers_Zones!$B$2:$B$101,Chantiers_Zones!$G$2:$G$101)),"OK","HORS PÉRIODE"),"CHANTIER INCONNU"))</f>
        <v/>
      </c>
      <c r="T165" s="9">
        <f>IF(COUNTA(A165:D165,F165,I165,K165:O165)=0,"",IF(M165="Annulée","OK",IF(OR(A165="",B165="",C165="",D165="",F165="",I165="",K165="",L165="",M165=""),"INCOMPLET",IF(D165&lt;=C165,"HORAIRES INVALIDES",IF(OR(C165&lt;Paramètres!$B$3,D165&gt;Paramètres!$B$4),"HORS PLAGE",IF(P165&lt;&gt;"OK",P165,IF(Q165&lt;&gt;"OK",Q165,IF(R165&lt;&gt;"OK",R165,IF(S165&lt;&gt;"OK",S165,"OK")))))))))</f>
        <v/>
      </c>
    </row>
    <row r="166">
      <c r="A166" s="12" t="n"/>
      <c r="B166" s="24" t="n"/>
      <c r="C166" s="25" t="n"/>
      <c r="D166" s="25" t="n"/>
      <c r="E166" s="15">
        <f>IF(OR(C166="",D166=""),"",IF(D166&gt;C166,(D166-C166)*24,""))</f>
        <v/>
      </c>
      <c r="F166" s="12" t="n"/>
      <c r="G166" s="16">
        <f>IF(F166="","",IFERROR(_xlfn.XLOOKUP(F166,Intervenants!$A$2:$A$101,Intervenants!$B$2:$B$101),"ID inconnu"))</f>
        <v/>
      </c>
      <c r="H166" s="16">
        <f>IF(F166="","",IFERROR(_xlfn.XLOOKUP(F166,Intervenants!$A$2:$A$101,Intervenants!$C$2:$C$101),"ID inconnu"))</f>
        <v/>
      </c>
      <c r="I166" s="12" t="n"/>
      <c r="J166" s="16">
        <f>IF(I166="","",IFERROR(_xlfn.XLOOKUP(I166,Chantiers_Zones!$B$2:$B$101,Chantiers_Zones!$C$2:$C$101),"CHANTIER INCONNU"))</f>
        <v/>
      </c>
      <c r="K166" s="12" t="n"/>
      <c r="L166" s="12" t="n"/>
      <c r="M166" s="8" t="n"/>
      <c r="N166" s="8" t="n"/>
      <c r="O166" s="17" t="n"/>
      <c r="P166" s="9">
        <f>IF(M166="Annulée","OK",IF(OR(B166="",C166="",D166="",F166=""),"",IF(COUNTIFS($F$7:$F$206,F166,$B$7:$B$206,B166,$C$7:$C$206,"&lt;"&amp;D166,$D$7:$D$206,"&gt;"&amp;C166,$M$7:$M$206,"&lt;&gt;Annulée")&gt;1,"DOUBLE RÉSERVATION","OK")))</f>
        <v/>
      </c>
      <c r="Q166" s="9">
        <f>IF(M166="Annulée","OK",IF(OR(B166="",C166="",D166="",F166=""),"",IF(SUMPRODUCT((Indisponibilités!$A$2:$A$101=F166)*((Indisponibilités!$B$2:$B$101+Indisponibilités!$C$2:$C$101)&lt;(B166+D166))*((Indisponibilités!$D$2:$D$101+Indisponibilités!$E$2:$E$101)&gt;(B166+C166)))&gt;0,"INDISPONIBLE","OK")))</f>
        <v/>
      </c>
      <c r="R166" s="9">
        <f>IF(OR(I166="",K166=""),"",IF(COUNTIFS(Chantiers_Zones!$B$2:$B$101,I166,Chantiers_Zones!$D$2:$D$101,K166,Chantiers_Zones!$E$2:$E$101,"Oui")&gt;0,"OK","ZONE INVALIDE"))</f>
        <v/>
      </c>
      <c r="S166" s="9">
        <f>IF(OR(B166="",I166=""),"",IFERROR(IF(AND(B166&gt;=_xlfn.XLOOKUP(I166,Chantiers_Zones!$B$2:$B$101,Chantiers_Zones!$F$2:$F$101),B166&lt;=_xlfn.XLOOKUP(I166,Chantiers_Zones!$B$2:$B$101,Chantiers_Zones!$G$2:$G$101)),"OK","HORS PÉRIODE"),"CHANTIER INCONNU"))</f>
        <v/>
      </c>
      <c r="T166" s="9">
        <f>IF(COUNTA(A166:D166,F166,I166,K166:O166)=0,"",IF(M166="Annulée","OK",IF(OR(A166="",B166="",C166="",D166="",F166="",I166="",K166="",L166="",M166=""),"INCOMPLET",IF(D166&lt;=C166,"HORAIRES INVALIDES",IF(OR(C166&lt;Paramètres!$B$3,D166&gt;Paramètres!$B$4),"HORS PLAGE",IF(P166&lt;&gt;"OK",P166,IF(Q166&lt;&gt;"OK",Q166,IF(R166&lt;&gt;"OK",R166,IF(S166&lt;&gt;"OK",S166,"OK")))))))))</f>
        <v/>
      </c>
    </row>
    <row r="167">
      <c r="A167" s="12" t="n"/>
      <c r="B167" s="24" t="n"/>
      <c r="C167" s="25" t="n"/>
      <c r="D167" s="25" t="n"/>
      <c r="E167" s="15">
        <f>IF(OR(C167="",D167=""),"",IF(D167&gt;C167,(D167-C167)*24,""))</f>
        <v/>
      </c>
      <c r="F167" s="12" t="n"/>
      <c r="G167" s="16">
        <f>IF(F167="","",IFERROR(_xlfn.XLOOKUP(F167,Intervenants!$A$2:$A$101,Intervenants!$B$2:$B$101),"ID inconnu"))</f>
        <v/>
      </c>
      <c r="H167" s="16">
        <f>IF(F167="","",IFERROR(_xlfn.XLOOKUP(F167,Intervenants!$A$2:$A$101,Intervenants!$C$2:$C$101),"ID inconnu"))</f>
        <v/>
      </c>
      <c r="I167" s="12" t="n"/>
      <c r="J167" s="16">
        <f>IF(I167="","",IFERROR(_xlfn.XLOOKUP(I167,Chantiers_Zones!$B$2:$B$101,Chantiers_Zones!$C$2:$C$101),"CHANTIER INCONNU"))</f>
        <v/>
      </c>
      <c r="K167" s="12" t="n"/>
      <c r="L167" s="12" t="n"/>
      <c r="M167" s="8" t="n"/>
      <c r="N167" s="8" t="n"/>
      <c r="O167" s="17" t="n"/>
      <c r="P167" s="9">
        <f>IF(M167="Annulée","OK",IF(OR(B167="",C167="",D167="",F167=""),"",IF(COUNTIFS($F$7:$F$206,F167,$B$7:$B$206,B167,$C$7:$C$206,"&lt;"&amp;D167,$D$7:$D$206,"&gt;"&amp;C167,$M$7:$M$206,"&lt;&gt;Annulée")&gt;1,"DOUBLE RÉSERVATION","OK")))</f>
        <v/>
      </c>
      <c r="Q167" s="9">
        <f>IF(M167="Annulée","OK",IF(OR(B167="",C167="",D167="",F167=""),"",IF(SUMPRODUCT((Indisponibilités!$A$2:$A$101=F167)*((Indisponibilités!$B$2:$B$101+Indisponibilités!$C$2:$C$101)&lt;(B167+D167))*((Indisponibilités!$D$2:$D$101+Indisponibilités!$E$2:$E$101)&gt;(B167+C167)))&gt;0,"INDISPONIBLE","OK")))</f>
        <v/>
      </c>
      <c r="R167" s="9">
        <f>IF(OR(I167="",K167=""),"",IF(COUNTIFS(Chantiers_Zones!$B$2:$B$101,I167,Chantiers_Zones!$D$2:$D$101,K167,Chantiers_Zones!$E$2:$E$101,"Oui")&gt;0,"OK","ZONE INVALIDE"))</f>
        <v/>
      </c>
      <c r="S167" s="9">
        <f>IF(OR(B167="",I167=""),"",IFERROR(IF(AND(B167&gt;=_xlfn.XLOOKUP(I167,Chantiers_Zones!$B$2:$B$101,Chantiers_Zones!$F$2:$F$101),B167&lt;=_xlfn.XLOOKUP(I167,Chantiers_Zones!$B$2:$B$101,Chantiers_Zones!$G$2:$G$101)),"OK","HORS PÉRIODE"),"CHANTIER INCONNU"))</f>
        <v/>
      </c>
      <c r="T167" s="9">
        <f>IF(COUNTA(A167:D167,F167,I167,K167:O167)=0,"",IF(M167="Annulée","OK",IF(OR(A167="",B167="",C167="",D167="",F167="",I167="",K167="",L167="",M167=""),"INCOMPLET",IF(D167&lt;=C167,"HORAIRES INVALIDES",IF(OR(C167&lt;Paramètres!$B$3,D167&gt;Paramètres!$B$4),"HORS PLAGE",IF(P167&lt;&gt;"OK",P167,IF(Q167&lt;&gt;"OK",Q167,IF(R167&lt;&gt;"OK",R167,IF(S167&lt;&gt;"OK",S167,"OK")))))))))</f>
        <v/>
      </c>
    </row>
    <row r="168">
      <c r="A168" s="12" t="n"/>
      <c r="B168" s="24" t="n"/>
      <c r="C168" s="25" t="n"/>
      <c r="D168" s="25" t="n"/>
      <c r="E168" s="15">
        <f>IF(OR(C168="",D168=""),"",IF(D168&gt;C168,(D168-C168)*24,""))</f>
        <v/>
      </c>
      <c r="F168" s="12" t="n"/>
      <c r="G168" s="16">
        <f>IF(F168="","",IFERROR(_xlfn.XLOOKUP(F168,Intervenants!$A$2:$A$101,Intervenants!$B$2:$B$101),"ID inconnu"))</f>
        <v/>
      </c>
      <c r="H168" s="16">
        <f>IF(F168="","",IFERROR(_xlfn.XLOOKUP(F168,Intervenants!$A$2:$A$101,Intervenants!$C$2:$C$101),"ID inconnu"))</f>
        <v/>
      </c>
      <c r="I168" s="12" t="n"/>
      <c r="J168" s="16">
        <f>IF(I168="","",IFERROR(_xlfn.XLOOKUP(I168,Chantiers_Zones!$B$2:$B$101,Chantiers_Zones!$C$2:$C$101),"CHANTIER INCONNU"))</f>
        <v/>
      </c>
      <c r="K168" s="12" t="n"/>
      <c r="L168" s="12" t="n"/>
      <c r="M168" s="8" t="n"/>
      <c r="N168" s="8" t="n"/>
      <c r="O168" s="17" t="n"/>
      <c r="P168" s="9">
        <f>IF(M168="Annulée","OK",IF(OR(B168="",C168="",D168="",F168=""),"",IF(COUNTIFS($F$7:$F$206,F168,$B$7:$B$206,B168,$C$7:$C$206,"&lt;"&amp;D168,$D$7:$D$206,"&gt;"&amp;C168,$M$7:$M$206,"&lt;&gt;Annulée")&gt;1,"DOUBLE RÉSERVATION","OK")))</f>
        <v/>
      </c>
      <c r="Q168" s="9">
        <f>IF(M168="Annulée","OK",IF(OR(B168="",C168="",D168="",F168=""),"",IF(SUMPRODUCT((Indisponibilités!$A$2:$A$101=F168)*((Indisponibilités!$B$2:$B$101+Indisponibilités!$C$2:$C$101)&lt;(B168+D168))*((Indisponibilités!$D$2:$D$101+Indisponibilités!$E$2:$E$101)&gt;(B168+C168)))&gt;0,"INDISPONIBLE","OK")))</f>
        <v/>
      </c>
      <c r="R168" s="9">
        <f>IF(OR(I168="",K168=""),"",IF(COUNTIFS(Chantiers_Zones!$B$2:$B$101,I168,Chantiers_Zones!$D$2:$D$101,K168,Chantiers_Zones!$E$2:$E$101,"Oui")&gt;0,"OK","ZONE INVALIDE"))</f>
        <v/>
      </c>
      <c r="S168" s="9">
        <f>IF(OR(B168="",I168=""),"",IFERROR(IF(AND(B168&gt;=_xlfn.XLOOKUP(I168,Chantiers_Zones!$B$2:$B$101,Chantiers_Zones!$F$2:$F$101),B168&lt;=_xlfn.XLOOKUP(I168,Chantiers_Zones!$B$2:$B$101,Chantiers_Zones!$G$2:$G$101)),"OK","HORS PÉRIODE"),"CHANTIER INCONNU"))</f>
        <v/>
      </c>
      <c r="T168" s="9">
        <f>IF(COUNTA(A168:D168,F168,I168,K168:O168)=0,"",IF(M168="Annulée","OK",IF(OR(A168="",B168="",C168="",D168="",F168="",I168="",K168="",L168="",M168=""),"INCOMPLET",IF(D168&lt;=C168,"HORAIRES INVALIDES",IF(OR(C168&lt;Paramètres!$B$3,D168&gt;Paramètres!$B$4),"HORS PLAGE",IF(P168&lt;&gt;"OK",P168,IF(Q168&lt;&gt;"OK",Q168,IF(R168&lt;&gt;"OK",R168,IF(S168&lt;&gt;"OK",S168,"OK")))))))))</f>
        <v/>
      </c>
    </row>
    <row r="169">
      <c r="A169" s="12" t="n"/>
      <c r="B169" s="24" t="n"/>
      <c r="C169" s="25" t="n"/>
      <c r="D169" s="25" t="n"/>
      <c r="E169" s="15">
        <f>IF(OR(C169="",D169=""),"",IF(D169&gt;C169,(D169-C169)*24,""))</f>
        <v/>
      </c>
      <c r="F169" s="12" t="n"/>
      <c r="G169" s="16">
        <f>IF(F169="","",IFERROR(_xlfn.XLOOKUP(F169,Intervenants!$A$2:$A$101,Intervenants!$B$2:$B$101),"ID inconnu"))</f>
        <v/>
      </c>
      <c r="H169" s="16">
        <f>IF(F169="","",IFERROR(_xlfn.XLOOKUP(F169,Intervenants!$A$2:$A$101,Intervenants!$C$2:$C$101),"ID inconnu"))</f>
        <v/>
      </c>
      <c r="I169" s="12" t="n"/>
      <c r="J169" s="16">
        <f>IF(I169="","",IFERROR(_xlfn.XLOOKUP(I169,Chantiers_Zones!$B$2:$B$101,Chantiers_Zones!$C$2:$C$101),"CHANTIER INCONNU"))</f>
        <v/>
      </c>
      <c r="K169" s="12" t="n"/>
      <c r="L169" s="12" t="n"/>
      <c r="M169" s="8" t="n"/>
      <c r="N169" s="8" t="n"/>
      <c r="O169" s="17" t="n"/>
      <c r="P169" s="9">
        <f>IF(M169="Annulée","OK",IF(OR(B169="",C169="",D169="",F169=""),"",IF(COUNTIFS($F$7:$F$206,F169,$B$7:$B$206,B169,$C$7:$C$206,"&lt;"&amp;D169,$D$7:$D$206,"&gt;"&amp;C169,$M$7:$M$206,"&lt;&gt;Annulée")&gt;1,"DOUBLE RÉSERVATION","OK")))</f>
        <v/>
      </c>
      <c r="Q169" s="9">
        <f>IF(M169="Annulée","OK",IF(OR(B169="",C169="",D169="",F169=""),"",IF(SUMPRODUCT((Indisponibilités!$A$2:$A$101=F169)*((Indisponibilités!$B$2:$B$101+Indisponibilités!$C$2:$C$101)&lt;(B169+D169))*((Indisponibilités!$D$2:$D$101+Indisponibilités!$E$2:$E$101)&gt;(B169+C169)))&gt;0,"INDISPONIBLE","OK")))</f>
        <v/>
      </c>
      <c r="R169" s="9">
        <f>IF(OR(I169="",K169=""),"",IF(COUNTIFS(Chantiers_Zones!$B$2:$B$101,I169,Chantiers_Zones!$D$2:$D$101,K169,Chantiers_Zones!$E$2:$E$101,"Oui")&gt;0,"OK","ZONE INVALIDE"))</f>
        <v/>
      </c>
      <c r="S169" s="9">
        <f>IF(OR(B169="",I169=""),"",IFERROR(IF(AND(B169&gt;=_xlfn.XLOOKUP(I169,Chantiers_Zones!$B$2:$B$101,Chantiers_Zones!$F$2:$F$101),B169&lt;=_xlfn.XLOOKUP(I169,Chantiers_Zones!$B$2:$B$101,Chantiers_Zones!$G$2:$G$101)),"OK","HORS PÉRIODE"),"CHANTIER INCONNU"))</f>
        <v/>
      </c>
      <c r="T169" s="9">
        <f>IF(COUNTA(A169:D169,F169,I169,K169:O169)=0,"",IF(M169="Annulée","OK",IF(OR(A169="",B169="",C169="",D169="",F169="",I169="",K169="",L169="",M169=""),"INCOMPLET",IF(D169&lt;=C169,"HORAIRES INVALIDES",IF(OR(C169&lt;Paramètres!$B$3,D169&gt;Paramètres!$B$4),"HORS PLAGE",IF(P169&lt;&gt;"OK",P169,IF(Q169&lt;&gt;"OK",Q169,IF(R169&lt;&gt;"OK",R169,IF(S169&lt;&gt;"OK",S169,"OK")))))))))</f>
        <v/>
      </c>
    </row>
    <row r="170">
      <c r="A170" s="12" t="n"/>
      <c r="B170" s="24" t="n"/>
      <c r="C170" s="25" t="n"/>
      <c r="D170" s="25" t="n"/>
      <c r="E170" s="15">
        <f>IF(OR(C170="",D170=""),"",IF(D170&gt;C170,(D170-C170)*24,""))</f>
        <v/>
      </c>
      <c r="F170" s="12" t="n"/>
      <c r="G170" s="16">
        <f>IF(F170="","",IFERROR(_xlfn.XLOOKUP(F170,Intervenants!$A$2:$A$101,Intervenants!$B$2:$B$101),"ID inconnu"))</f>
        <v/>
      </c>
      <c r="H170" s="16">
        <f>IF(F170="","",IFERROR(_xlfn.XLOOKUP(F170,Intervenants!$A$2:$A$101,Intervenants!$C$2:$C$101),"ID inconnu"))</f>
        <v/>
      </c>
      <c r="I170" s="12" t="n"/>
      <c r="J170" s="16">
        <f>IF(I170="","",IFERROR(_xlfn.XLOOKUP(I170,Chantiers_Zones!$B$2:$B$101,Chantiers_Zones!$C$2:$C$101),"CHANTIER INCONNU"))</f>
        <v/>
      </c>
      <c r="K170" s="12" t="n"/>
      <c r="L170" s="12" t="n"/>
      <c r="M170" s="8" t="n"/>
      <c r="N170" s="8" t="n"/>
      <c r="O170" s="17" t="n"/>
      <c r="P170" s="9">
        <f>IF(M170="Annulée","OK",IF(OR(B170="",C170="",D170="",F170=""),"",IF(COUNTIFS($F$7:$F$206,F170,$B$7:$B$206,B170,$C$7:$C$206,"&lt;"&amp;D170,$D$7:$D$206,"&gt;"&amp;C170,$M$7:$M$206,"&lt;&gt;Annulée")&gt;1,"DOUBLE RÉSERVATION","OK")))</f>
        <v/>
      </c>
      <c r="Q170" s="9">
        <f>IF(M170="Annulée","OK",IF(OR(B170="",C170="",D170="",F170=""),"",IF(SUMPRODUCT((Indisponibilités!$A$2:$A$101=F170)*((Indisponibilités!$B$2:$B$101+Indisponibilités!$C$2:$C$101)&lt;(B170+D170))*((Indisponibilités!$D$2:$D$101+Indisponibilités!$E$2:$E$101)&gt;(B170+C170)))&gt;0,"INDISPONIBLE","OK")))</f>
        <v/>
      </c>
      <c r="R170" s="9">
        <f>IF(OR(I170="",K170=""),"",IF(COUNTIFS(Chantiers_Zones!$B$2:$B$101,I170,Chantiers_Zones!$D$2:$D$101,K170,Chantiers_Zones!$E$2:$E$101,"Oui")&gt;0,"OK","ZONE INVALIDE"))</f>
        <v/>
      </c>
      <c r="S170" s="9">
        <f>IF(OR(B170="",I170=""),"",IFERROR(IF(AND(B170&gt;=_xlfn.XLOOKUP(I170,Chantiers_Zones!$B$2:$B$101,Chantiers_Zones!$F$2:$F$101),B170&lt;=_xlfn.XLOOKUP(I170,Chantiers_Zones!$B$2:$B$101,Chantiers_Zones!$G$2:$G$101)),"OK","HORS PÉRIODE"),"CHANTIER INCONNU"))</f>
        <v/>
      </c>
      <c r="T170" s="9">
        <f>IF(COUNTA(A170:D170,F170,I170,K170:O170)=0,"",IF(M170="Annulée","OK",IF(OR(A170="",B170="",C170="",D170="",F170="",I170="",K170="",L170="",M170=""),"INCOMPLET",IF(D170&lt;=C170,"HORAIRES INVALIDES",IF(OR(C170&lt;Paramètres!$B$3,D170&gt;Paramètres!$B$4),"HORS PLAGE",IF(P170&lt;&gt;"OK",P170,IF(Q170&lt;&gt;"OK",Q170,IF(R170&lt;&gt;"OK",R170,IF(S170&lt;&gt;"OK",S170,"OK")))))))))</f>
        <v/>
      </c>
    </row>
    <row r="171">
      <c r="A171" s="12" t="n"/>
      <c r="B171" s="24" t="n"/>
      <c r="C171" s="25" t="n"/>
      <c r="D171" s="25" t="n"/>
      <c r="E171" s="15">
        <f>IF(OR(C171="",D171=""),"",IF(D171&gt;C171,(D171-C171)*24,""))</f>
        <v/>
      </c>
      <c r="F171" s="12" t="n"/>
      <c r="G171" s="16">
        <f>IF(F171="","",IFERROR(_xlfn.XLOOKUP(F171,Intervenants!$A$2:$A$101,Intervenants!$B$2:$B$101),"ID inconnu"))</f>
        <v/>
      </c>
      <c r="H171" s="16">
        <f>IF(F171="","",IFERROR(_xlfn.XLOOKUP(F171,Intervenants!$A$2:$A$101,Intervenants!$C$2:$C$101),"ID inconnu"))</f>
        <v/>
      </c>
      <c r="I171" s="12" t="n"/>
      <c r="J171" s="16">
        <f>IF(I171="","",IFERROR(_xlfn.XLOOKUP(I171,Chantiers_Zones!$B$2:$B$101,Chantiers_Zones!$C$2:$C$101),"CHANTIER INCONNU"))</f>
        <v/>
      </c>
      <c r="K171" s="12" t="n"/>
      <c r="L171" s="12" t="n"/>
      <c r="M171" s="8" t="n"/>
      <c r="N171" s="8" t="n"/>
      <c r="O171" s="17" t="n"/>
      <c r="P171" s="9">
        <f>IF(M171="Annulée","OK",IF(OR(B171="",C171="",D171="",F171=""),"",IF(COUNTIFS($F$7:$F$206,F171,$B$7:$B$206,B171,$C$7:$C$206,"&lt;"&amp;D171,$D$7:$D$206,"&gt;"&amp;C171,$M$7:$M$206,"&lt;&gt;Annulée")&gt;1,"DOUBLE RÉSERVATION","OK")))</f>
        <v/>
      </c>
      <c r="Q171" s="9">
        <f>IF(M171="Annulée","OK",IF(OR(B171="",C171="",D171="",F171=""),"",IF(SUMPRODUCT((Indisponibilités!$A$2:$A$101=F171)*((Indisponibilités!$B$2:$B$101+Indisponibilités!$C$2:$C$101)&lt;(B171+D171))*((Indisponibilités!$D$2:$D$101+Indisponibilités!$E$2:$E$101)&gt;(B171+C171)))&gt;0,"INDISPONIBLE","OK")))</f>
        <v/>
      </c>
      <c r="R171" s="9">
        <f>IF(OR(I171="",K171=""),"",IF(COUNTIFS(Chantiers_Zones!$B$2:$B$101,I171,Chantiers_Zones!$D$2:$D$101,K171,Chantiers_Zones!$E$2:$E$101,"Oui")&gt;0,"OK","ZONE INVALIDE"))</f>
        <v/>
      </c>
      <c r="S171" s="9">
        <f>IF(OR(B171="",I171=""),"",IFERROR(IF(AND(B171&gt;=_xlfn.XLOOKUP(I171,Chantiers_Zones!$B$2:$B$101,Chantiers_Zones!$F$2:$F$101),B171&lt;=_xlfn.XLOOKUP(I171,Chantiers_Zones!$B$2:$B$101,Chantiers_Zones!$G$2:$G$101)),"OK","HORS PÉRIODE"),"CHANTIER INCONNU"))</f>
        <v/>
      </c>
      <c r="T171" s="9">
        <f>IF(COUNTA(A171:D171,F171,I171,K171:O171)=0,"",IF(M171="Annulée","OK",IF(OR(A171="",B171="",C171="",D171="",F171="",I171="",K171="",L171="",M171=""),"INCOMPLET",IF(D171&lt;=C171,"HORAIRES INVALIDES",IF(OR(C171&lt;Paramètres!$B$3,D171&gt;Paramètres!$B$4),"HORS PLAGE",IF(P171&lt;&gt;"OK",P171,IF(Q171&lt;&gt;"OK",Q171,IF(R171&lt;&gt;"OK",R171,IF(S171&lt;&gt;"OK",S171,"OK")))))))))</f>
        <v/>
      </c>
    </row>
    <row r="172">
      <c r="A172" s="12" t="n"/>
      <c r="B172" s="24" t="n"/>
      <c r="C172" s="25" t="n"/>
      <c r="D172" s="25" t="n"/>
      <c r="E172" s="15">
        <f>IF(OR(C172="",D172=""),"",IF(D172&gt;C172,(D172-C172)*24,""))</f>
        <v/>
      </c>
      <c r="F172" s="12" t="n"/>
      <c r="G172" s="16">
        <f>IF(F172="","",IFERROR(_xlfn.XLOOKUP(F172,Intervenants!$A$2:$A$101,Intervenants!$B$2:$B$101),"ID inconnu"))</f>
        <v/>
      </c>
      <c r="H172" s="16">
        <f>IF(F172="","",IFERROR(_xlfn.XLOOKUP(F172,Intervenants!$A$2:$A$101,Intervenants!$C$2:$C$101),"ID inconnu"))</f>
        <v/>
      </c>
      <c r="I172" s="12" t="n"/>
      <c r="J172" s="16">
        <f>IF(I172="","",IFERROR(_xlfn.XLOOKUP(I172,Chantiers_Zones!$B$2:$B$101,Chantiers_Zones!$C$2:$C$101),"CHANTIER INCONNU"))</f>
        <v/>
      </c>
      <c r="K172" s="12" t="n"/>
      <c r="L172" s="12" t="n"/>
      <c r="M172" s="8" t="n"/>
      <c r="N172" s="8" t="n"/>
      <c r="O172" s="17" t="n"/>
      <c r="P172" s="9">
        <f>IF(M172="Annulée","OK",IF(OR(B172="",C172="",D172="",F172=""),"",IF(COUNTIFS($F$7:$F$206,F172,$B$7:$B$206,B172,$C$7:$C$206,"&lt;"&amp;D172,$D$7:$D$206,"&gt;"&amp;C172,$M$7:$M$206,"&lt;&gt;Annulée")&gt;1,"DOUBLE RÉSERVATION","OK")))</f>
        <v/>
      </c>
      <c r="Q172" s="9">
        <f>IF(M172="Annulée","OK",IF(OR(B172="",C172="",D172="",F172=""),"",IF(SUMPRODUCT((Indisponibilités!$A$2:$A$101=F172)*((Indisponibilités!$B$2:$B$101+Indisponibilités!$C$2:$C$101)&lt;(B172+D172))*((Indisponibilités!$D$2:$D$101+Indisponibilités!$E$2:$E$101)&gt;(B172+C172)))&gt;0,"INDISPONIBLE","OK")))</f>
        <v/>
      </c>
      <c r="R172" s="9">
        <f>IF(OR(I172="",K172=""),"",IF(COUNTIFS(Chantiers_Zones!$B$2:$B$101,I172,Chantiers_Zones!$D$2:$D$101,K172,Chantiers_Zones!$E$2:$E$101,"Oui")&gt;0,"OK","ZONE INVALIDE"))</f>
        <v/>
      </c>
      <c r="S172" s="9">
        <f>IF(OR(B172="",I172=""),"",IFERROR(IF(AND(B172&gt;=_xlfn.XLOOKUP(I172,Chantiers_Zones!$B$2:$B$101,Chantiers_Zones!$F$2:$F$101),B172&lt;=_xlfn.XLOOKUP(I172,Chantiers_Zones!$B$2:$B$101,Chantiers_Zones!$G$2:$G$101)),"OK","HORS PÉRIODE"),"CHANTIER INCONNU"))</f>
        <v/>
      </c>
      <c r="T172" s="9">
        <f>IF(COUNTA(A172:D172,F172,I172,K172:O172)=0,"",IF(M172="Annulée","OK",IF(OR(A172="",B172="",C172="",D172="",F172="",I172="",K172="",L172="",M172=""),"INCOMPLET",IF(D172&lt;=C172,"HORAIRES INVALIDES",IF(OR(C172&lt;Paramètres!$B$3,D172&gt;Paramètres!$B$4),"HORS PLAGE",IF(P172&lt;&gt;"OK",P172,IF(Q172&lt;&gt;"OK",Q172,IF(R172&lt;&gt;"OK",R172,IF(S172&lt;&gt;"OK",S172,"OK")))))))))</f>
        <v/>
      </c>
    </row>
    <row r="173">
      <c r="A173" s="12" t="n"/>
      <c r="B173" s="24" t="n"/>
      <c r="C173" s="25" t="n"/>
      <c r="D173" s="25" t="n"/>
      <c r="E173" s="15">
        <f>IF(OR(C173="",D173=""),"",IF(D173&gt;C173,(D173-C173)*24,""))</f>
        <v/>
      </c>
      <c r="F173" s="12" t="n"/>
      <c r="G173" s="16">
        <f>IF(F173="","",IFERROR(_xlfn.XLOOKUP(F173,Intervenants!$A$2:$A$101,Intervenants!$B$2:$B$101),"ID inconnu"))</f>
        <v/>
      </c>
      <c r="H173" s="16">
        <f>IF(F173="","",IFERROR(_xlfn.XLOOKUP(F173,Intervenants!$A$2:$A$101,Intervenants!$C$2:$C$101),"ID inconnu"))</f>
        <v/>
      </c>
      <c r="I173" s="12" t="n"/>
      <c r="J173" s="16">
        <f>IF(I173="","",IFERROR(_xlfn.XLOOKUP(I173,Chantiers_Zones!$B$2:$B$101,Chantiers_Zones!$C$2:$C$101),"CHANTIER INCONNU"))</f>
        <v/>
      </c>
      <c r="K173" s="12" t="n"/>
      <c r="L173" s="12" t="n"/>
      <c r="M173" s="8" t="n"/>
      <c r="N173" s="8" t="n"/>
      <c r="O173" s="17" t="n"/>
      <c r="P173" s="9">
        <f>IF(M173="Annulée","OK",IF(OR(B173="",C173="",D173="",F173=""),"",IF(COUNTIFS($F$7:$F$206,F173,$B$7:$B$206,B173,$C$7:$C$206,"&lt;"&amp;D173,$D$7:$D$206,"&gt;"&amp;C173,$M$7:$M$206,"&lt;&gt;Annulée")&gt;1,"DOUBLE RÉSERVATION","OK")))</f>
        <v/>
      </c>
      <c r="Q173" s="9">
        <f>IF(M173="Annulée","OK",IF(OR(B173="",C173="",D173="",F173=""),"",IF(SUMPRODUCT((Indisponibilités!$A$2:$A$101=F173)*((Indisponibilités!$B$2:$B$101+Indisponibilités!$C$2:$C$101)&lt;(B173+D173))*((Indisponibilités!$D$2:$D$101+Indisponibilités!$E$2:$E$101)&gt;(B173+C173)))&gt;0,"INDISPONIBLE","OK")))</f>
        <v/>
      </c>
      <c r="R173" s="9">
        <f>IF(OR(I173="",K173=""),"",IF(COUNTIFS(Chantiers_Zones!$B$2:$B$101,I173,Chantiers_Zones!$D$2:$D$101,K173,Chantiers_Zones!$E$2:$E$101,"Oui")&gt;0,"OK","ZONE INVALIDE"))</f>
        <v/>
      </c>
      <c r="S173" s="9">
        <f>IF(OR(B173="",I173=""),"",IFERROR(IF(AND(B173&gt;=_xlfn.XLOOKUP(I173,Chantiers_Zones!$B$2:$B$101,Chantiers_Zones!$F$2:$F$101),B173&lt;=_xlfn.XLOOKUP(I173,Chantiers_Zones!$B$2:$B$101,Chantiers_Zones!$G$2:$G$101)),"OK","HORS PÉRIODE"),"CHANTIER INCONNU"))</f>
        <v/>
      </c>
      <c r="T173" s="9">
        <f>IF(COUNTA(A173:D173,F173,I173,K173:O173)=0,"",IF(M173="Annulée","OK",IF(OR(A173="",B173="",C173="",D173="",F173="",I173="",K173="",L173="",M173=""),"INCOMPLET",IF(D173&lt;=C173,"HORAIRES INVALIDES",IF(OR(C173&lt;Paramètres!$B$3,D173&gt;Paramètres!$B$4),"HORS PLAGE",IF(P173&lt;&gt;"OK",P173,IF(Q173&lt;&gt;"OK",Q173,IF(R173&lt;&gt;"OK",R173,IF(S173&lt;&gt;"OK",S173,"OK")))))))))</f>
        <v/>
      </c>
    </row>
    <row r="174">
      <c r="A174" s="12" t="n"/>
      <c r="B174" s="24" t="n"/>
      <c r="C174" s="25" t="n"/>
      <c r="D174" s="25" t="n"/>
      <c r="E174" s="15">
        <f>IF(OR(C174="",D174=""),"",IF(D174&gt;C174,(D174-C174)*24,""))</f>
        <v/>
      </c>
      <c r="F174" s="12" t="n"/>
      <c r="G174" s="16">
        <f>IF(F174="","",IFERROR(_xlfn.XLOOKUP(F174,Intervenants!$A$2:$A$101,Intervenants!$B$2:$B$101),"ID inconnu"))</f>
        <v/>
      </c>
      <c r="H174" s="16">
        <f>IF(F174="","",IFERROR(_xlfn.XLOOKUP(F174,Intervenants!$A$2:$A$101,Intervenants!$C$2:$C$101),"ID inconnu"))</f>
        <v/>
      </c>
      <c r="I174" s="12" t="n"/>
      <c r="J174" s="16">
        <f>IF(I174="","",IFERROR(_xlfn.XLOOKUP(I174,Chantiers_Zones!$B$2:$B$101,Chantiers_Zones!$C$2:$C$101),"CHANTIER INCONNU"))</f>
        <v/>
      </c>
      <c r="K174" s="12" t="n"/>
      <c r="L174" s="12" t="n"/>
      <c r="M174" s="8" t="n"/>
      <c r="N174" s="8" t="n"/>
      <c r="O174" s="17" t="n"/>
      <c r="P174" s="9">
        <f>IF(M174="Annulée","OK",IF(OR(B174="",C174="",D174="",F174=""),"",IF(COUNTIFS($F$7:$F$206,F174,$B$7:$B$206,B174,$C$7:$C$206,"&lt;"&amp;D174,$D$7:$D$206,"&gt;"&amp;C174,$M$7:$M$206,"&lt;&gt;Annulée")&gt;1,"DOUBLE RÉSERVATION","OK")))</f>
        <v/>
      </c>
      <c r="Q174" s="9">
        <f>IF(M174="Annulée","OK",IF(OR(B174="",C174="",D174="",F174=""),"",IF(SUMPRODUCT((Indisponibilités!$A$2:$A$101=F174)*((Indisponibilités!$B$2:$B$101+Indisponibilités!$C$2:$C$101)&lt;(B174+D174))*((Indisponibilités!$D$2:$D$101+Indisponibilités!$E$2:$E$101)&gt;(B174+C174)))&gt;0,"INDISPONIBLE","OK")))</f>
        <v/>
      </c>
      <c r="R174" s="9">
        <f>IF(OR(I174="",K174=""),"",IF(COUNTIFS(Chantiers_Zones!$B$2:$B$101,I174,Chantiers_Zones!$D$2:$D$101,K174,Chantiers_Zones!$E$2:$E$101,"Oui")&gt;0,"OK","ZONE INVALIDE"))</f>
        <v/>
      </c>
      <c r="S174" s="9">
        <f>IF(OR(B174="",I174=""),"",IFERROR(IF(AND(B174&gt;=_xlfn.XLOOKUP(I174,Chantiers_Zones!$B$2:$B$101,Chantiers_Zones!$F$2:$F$101),B174&lt;=_xlfn.XLOOKUP(I174,Chantiers_Zones!$B$2:$B$101,Chantiers_Zones!$G$2:$G$101)),"OK","HORS PÉRIODE"),"CHANTIER INCONNU"))</f>
        <v/>
      </c>
      <c r="T174" s="9">
        <f>IF(COUNTA(A174:D174,F174,I174,K174:O174)=0,"",IF(M174="Annulée","OK",IF(OR(A174="",B174="",C174="",D174="",F174="",I174="",K174="",L174="",M174=""),"INCOMPLET",IF(D174&lt;=C174,"HORAIRES INVALIDES",IF(OR(C174&lt;Paramètres!$B$3,D174&gt;Paramètres!$B$4),"HORS PLAGE",IF(P174&lt;&gt;"OK",P174,IF(Q174&lt;&gt;"OK",Q174,IF(R174&lt;&gt;"OK",R174,IF(S174&lt;&gt;"OK",S174,"OK")))))))))</f>
        <v/>
      </c>
    </row>
    <row r="175">
      <c r="A175" s="12" t="n"/>
      <c r="B175" s="24" t="n"/>
      <c r="C175" s="25" t="n"/>
      <c r="D175" s="25" t="n"/>
      <c r="E175" s="15">
        <f>IF(OR(C175="",D175=""),"",IF(D175&gt;C175,(D175-C175)*24,""))</f>
        <v/>
      </c>
      <c r="F175" s="12" t="n"/>
      <c r="G175" s="16">
        <f>IF(F175="","",IFERROR(_xlfn.XLOOKUP(F175,Intervenants!$A$2:$A$101,Intervenants!$B$2:$B$101),"ID inconnu"))</f>
        <v/>
      </c>
      <c r="H175" s="16">
        <f>IF(F175="","",IFERROR(_xlfn.XLOOKUP(F175,Intervenants!$A$2:$A$101,Intervenants!$C$2:$C$101),"ID inconnu"))</f>
        <v/>
      </c>
      <c r="I175" s="12" t="n"/>
      <c r="J175" s="16">
        <f>IF(I175="","",IFERROR(_xlfn.XLOOKUP(I175,Chantiers_Zones!$B$2:$B$101,Chantiers_Zones!$C$2:$C$101),"CHANTIER INCONNU"))</f>
        <v/>
      </c>
      <c r="K175" s="12" t="n"/>
      <c r="L175" s="12" t="n"/>
      <c r="M175" s="8" t="n"/>
      <c r="N175" s="8" t="n"/>
      <c r="O175" s="17" t="n"/>
      <c r="P175" s="9">
        <f>IF(M175="Annulée","OK",IF(OR(B175="",C175="",D175="",F175=""),"",IF(COUNTIFS($F$7:$F$206,F175,$B$7:$B$206,B175,$C$7:$C$206,"&lt;"&amp;D175,$D$7:$D$206,"&gt;"&amp;C175,$M$7:$M$206,"&lt;&gt;Annulée")&gt;1,"DOUBLE RÉSERVATION","OK")))</f>
        <v/>
      </c>
      <c r="Q175" s="9">
        <f>IF(M175="Annulée","OK",IF(OR(B175="",C175="",D175="",F175=""),"",IF(SUMPRODUCT((Indisponibilités!$A$2:$A$101=F175)*((Indisponibilités!$B$2:$B$101+Indisponibilités!$C$2:$C$101)&lt;(B175+D175))*((Indisponibilités!$D$2:$D$101+Indisponibilités!$E$2:$E$101)&gt;(B175+C175)))&gt;0,"INDISPONIBLE","OK")))</f>
        <v/>
      </c>
      <c r="R175" s="9">
        <f>IF(OR(I175="",K175=""),"",IF(COUNTIFS(Chantiers_Zones!$B$2:$B$101,I175,Chantiers_Zones!$D$2:$D$101,K175,Chantiers_Zones!$E$2:$E$101,"Oui")&gt;0,"OK","ZONE INVALIDE"))</f>
        <v/>
      </c>
      <c r="S175" s="9">
        <f>IF(OR(B175="",I175=""),"",IFERROR(IF(AND(B175&gt;=_xlfn.XLOOKUP(I175,Chantiers_Zones!$B$2:$B$101,Chantiers_Zones!$F$2:$F$101),B175&lt;=_xlfn.XLOOKUP(I175,Chantiers_Zones!$B$2:$B$101,Chantiers_Zones!$G$2:$G$101)),"OK","HORS PÉRIODE"),"CHANTIER INCONNU"))</f>
        <v/>
      </c>
      <c r="T175" s="9">
        <f>IF(COUNTA(A175:D175,F175,I175,K175:O175)=0,"",IF(M175="Annulée","OK",IF(OR(A175="",B175="",C175="",D175="",F175="",I175="",K175="",L175="",M175=""),"INCOMPLET",IF(D175&lt;=C175,"HORAIRES INVALIDES",IF(OR(C175&lt;Paramètres!$B$3,D175&gt;Paramètres!$B$4),"HORS PLAGE",IF(P175&lt;&gt;"OK",P175,IF(Q175&lt;&gt;"OK",Q175,IF(R175&lt;&gt;"OK",R175,IF(S175&lt;&gt;"OK",S175,"OK")))))))))</f>
        <v/>
      </c>
    </row>
    <row r="176">
      <c r="A176" s="12" t="n"/>
      <c r="B176" s="24" t="n"/>
      <c r="C176" s="25" t="n"/>
      <c r="D176" s="25" t="n"/>
      <c r="E176" s="15">
        <f>IF(OR(C176="",D176=""),"",IF(D176&gt;C176,(D176-C176)*24,""))</f>
        <v/>
      </c>
      <c r="F176" s="12" t="n"/>
      <c r="G176" s="16">
        <f>IF(F176="","",IFERROR(_xlfn.XLOOKUP(F176,Intervenants!$A$2:$A$101,Intervenants!$B$2:$B$101),"ID inconnu"))</f>
        <v/>
      </c>
      <c r="H176" s="16">
        <f>IF(F176="","",IFERROR(_xlfn.XLOOKUP(F176,Intervenants!$A$2:$A$101,Intervenants!$C$2:$C$101),"ID inconnu"))</f>
        <v/>
      </c>
      <c r="I176" s="12" t="n"/>
      <c r="J176" s="16">
        <f>IF(I176="","",IFERROR(_xlfn.XLOOKUP(I176,Chantiers_Zones!$B$2:$B$101,Chantiers_Zones!$C$2:$C$101),"CHANTIER INCONNU"))</f>
        <v/>
      </c>
      <c r="K176" s="12" t="n"/>
      <c r="L176" s="12" t="n"/>
      <c r="M176" s="8" t="n"/>
      <c r="N176" s="8" t="n"/>
      <c r="O176" s="17" t="n"/>
      <c r="P176" s="9">
        <f>IF(M176="Annulée","OK",IF(OR(B176="",C176="",D176="",F176=""),"",IF(COUNTIFS($F$7:$F$206,F176,$B$7:$B$206,B176,$C$7:$C$206,"&lt;"&amp;D176,$D$7:$D$206,"&gt;"&amp;C176,$M$7:$M$206,"&lt;&gt;Annulée")&gt;1,"DOUBLE RÉSERVATION","OK")))</f>
        <v/>
      </c>
      <c r="Q176" s="9">
        <f>IF(M176="Annulée","OK",IF(OR(B176="",C176="",D176="",F176=""),"",IF(SUMPRODUCT((Indisponibilités!$A$2:$A$101=F176)*((Indisponibilités!$B$2:$B$101+Indisponibilités!$C$2:$C$101)&lt;(B176+D176))*((Indisponibilités!$D$2:$D$101+Indisponibilités!$E$2:$E$101)&gt;(B176+C176)))&gt;0,"INDISPONIBLE","OK")))</f>
        <v/>
      </c>
      <c r="R176" s="9">
        <f>IF(OR(I176="",K176=""),"",IF(COUNTIFS(Chantiers_Zones!$B$2:$B$101,I176,Chantiers_Zones!$D$2:$D$101,K176,Chantiers_Zones!$E$2:$E$101,"Oui")&gt;0,"OK","ZONE INVALIDE"))</f>
        <v/>
      </c>
      <c r="S176" s="9">
        <f>IF(OR(B176="",I176=""),"",IFERROR(IF(AND(B176&gt;=_xlfn.XLOOKUP(I176,Chantiers_Zones!$B$2:$B$101,Chantiers_Zones!$F$2:$F$101),B176&lt;=_xlfn.XLOOKUP(I176,Chantiers_Zones!$B$2:$B$101,Chantiers_Zones!$G$2:$G$101)),"OK","HORS PÉRIODE"),"CHANTIER INCONNU"))</f>
        <v/>
      </c>
      <c r="T176" s="9">
        <f>IF(COUNTA(A176:D176,F176,I176,K176:O176)=0,"",IF(M176="Annulée","OK",IF(OR(A176="",B176="",C176="",D176="",F176="",I176="",K176="",L176="",M176=""),"INCOMPLET",IF(D176&lt;=C176,"HORAIRES INVALIDES",IF(OR(C176&lt;Paramètres!$B$3,D176&gt;Paramètres!$B$4),"HORS PLAGE",IF(P176&lt;&gt;"OK",P176,IF(Q176&lt;&gt;"OK",Q176,IF(R176&lt;&gt;"OK",R176,IF(S176&lt;&gt;"OK",S176,"OK")))))))))</f>
        <v/>
      </c>
    </row>
    <row r="177">
      <c r="A177" s="12" t="n"/>
      <c r="B177" s="24" t="n"/>
      <c r="C177" s="25" t="n"/>
      <c r="D177" s="25" t="n"/>
      <c r="E177" s="15">
        <f>IF(OR(C177="",D177=""),"",IF(D177&gt;C177,(D177-C177)*24,""))</f>
        <v/>
      </c>
      <c r="F177" s="12" t="n"/>
      <c r="G177" s="16">
        <f>IF(F177="","",IFERROR(_xlfn.XLOOKUP(F177,Intervenants!$A$2:$A$101,Intervenants!$B$2:$B$101),"ID inconnu"))</f>
        <v/>
      </c>
      <c r="H177" s="16">
        <f>IF(F177="","",IFERROR(_xlfn.XLOOKUP(F177,Intervenants!$A$2:$A$101,Intervenants!$C$2:$C$101),"ID inconnu"))</f>
        <v/>
      </c>
      <c r="I177" s="12" t="n"/>
      <c r="J177" s="16">
        <f>IF(I177="","",IFERROR(_xlfn.XLOOKUP(I177,Chantiers_Zones!$B$2:$B$101,Chantiers_Zones!$C$2:$C$101),"CHANTIER INCONNU"))</f>
        <v/>
      </c>
      <c r="K177" s="12" t="n"/>
      <c r="L177" s="12" t="n"/>
      <c r="M177" s="8" t="n"/>
      <c r="N177" s="8" t="n"/>
      <c r="O177" s="17" t="n"/>
      <c r="P177" s="9">
        <f>IF(M177="Annulée","OK",IF(OR(B177="",C177="",D177="",F177=""),"",IF(COUNTIFS($F$7:$F$206,F177,$B$7:$B$206,B177,$C$7:$C$206,"&lt;"&amp;D177,$D$7:$D$206,"&gt;"&amp;C177,$M$7:$M$206,"&lt;&gt;Annulée")&gt;1,"DOUBLE RÉSERVATION","OK")))</f>
        <v/>
      </c>
      <c r="Q177" s="9">
        <f>IF(M177="Annulée","OK",IF(OR(B177="",C177="",D177="",F177=""),"",IF(SUMPRODUCT((Indisponibilités!$A$2:$A$101=F177)*((Indisponibilités!$B$2:$B$101+Indisponibilités!$C$2:$C$101)&lt;(B177+D177))*((Indisponibilités!$D$2:$D$101+Indisponibilités!$E$2:$E$101)&gt;(B177+C177)))&gt;0,"INDISPONIBLE","OK")))</f>
        <v/>
      </c>
      <c r="R177" s="9">
        <f>IF(OR(I177="",K177=""),"",IF(COUNTIFS(Chantiers_Zones!$B$2:$B$101,I177,Chantiers_Zones!$D$2:$D$101,K177,Chantiers_Zones!$E$2:$E$101,"Oui")&gt;0,"OK","ZONE INVALIDE"))</f>
        <v/>
      </c>
      <c r="S177" s="9">
        <f>IF(OR(B177="",I177=""),"",IFERROR(IF(AND(B177&gt;=_xlfn.XLOOKUP(I177,Chantiers_Zones!$B$2:$B$101,Chantiers_Zones!$F$2:$F$101),B177&lt;=_xlfn.XLOOKUP(I177,Chantiers_Zones!$B$2:$B$101,Chantiers_Zones!$G$2:$G$101)),"OK","HORS PÉRIODE"),"CHANTIER INCONNU"))</f>
        <v/>
      </c>
      <c r="T177" s="9">
        <f>IF(COUNTA(A177:D177,F177,I177,K177:O177)=0,"",IF(M177="Annulée","OK",IF(OR(A177="",B177="",C177="",D177="",F177="",I177="",K177="",L177="",M177=""),"INCOMPLET",IF(D177&lt;=C177,"HORAIRES INVALIDES",IF(OR(C177&lt;Paramètres!$B$3,D177&gt;Paramètres!$B$4),"HORS PLAGE",IF(P177&lt;&gt;"OK",P177,IF(Q177&lt;&gt;"OK",Q177,IF(R177&lt;&gt;"OK",R177,IF(S177&lt;&gt;"OK",S177,"OK")))))))))</f>
        <v/>
      </c>
    </row>
    <row r="178">
      <c r="A178" s="12" t="n"/>
      <c r="B178" s="24" t="n"/>
      <c r="C178" s="25" t="n"/>
      <c r="D178" s="25" t="n"/>
      <c r="E178" s="15">
        <f>IF(OR(C178="",D178=""),"",IF(D178&gt;C178,(D178-C178)*24,""))</f>
        <v/>
      </c>
      <c r="F178" s="12" t="n"/>
      <c r="G178" s="16">
        <f>IF(F178="","",IFERROR(_xlfn.XLOOKUP(F178,Intervenants!$A$2:$A$101,Intervenants!$B$2:$B$101),"ID inconnu"))</f>
        <v/>
      </c>
      <c r="H178" s="16">
        <f>IF(F178="","",IFERROR(_xlfn.XLOOKUP(F178,Intervenants!$A$2:$A$101,Intervenants!$C$2:$C$101),"ID inconnu"))</f>
        <v/>
      </c>
      <c r="I178" s="12" t="n"/>
      <c r="J178" s="16">
        <f>IF(I178="","",IFERROR(_xlfn.XLOOKUP(I178,Chantiers_Zones!$B$2:$B$101,Chantiers_Zones!$C$2:$C$101),"CHANTIER INCONNU"))</f>
        <v/>
      </c>
      <c r="K178" s="12" t="n"/>
      <c r="L178" s="12" t="n"/>
      <c r="M178" s="8" t="n"/>
      <c r="N178" s="8" t="n"/>
      <c r="O178" s="17" t="n"/>
      <c r="P178" s="9">
        <f>IF(M178="Annulée","OK",IF(OR(B178="",C178="",D178="",F178=""),"",IF(COUNTIFS($F$7:$F$206,F178,$B$7:$B$206,B178,$C$7:$C$206,"&lt;"&amp;D178,$D$7:$D$206,"&gt;"&amp;C178,$M$7:$M$206,"&lt;&gt;Annulée")&gt;1,"DOUBLE RÉSERVATION","OK")))</f>
        <v/>
      </c>
      <c r="Q178" s="9">
        <f>IF(M178="Annulée","OK",IF(OR(B178="",C178="",D178="",F178=""),"",IF(SUMPRODUCT((Indisponibilités!$A$2:$A$101=F178)*((Indisponibilités!$B$2:$B$101+Indisponibilités!$C$2:$C$101)&lt;(B178+D178))*((Indisponibilités!$D$2:$D$101+Indisponibilités!$E$2:$E$101)&gt;(B178+C178)))&gt;0,"INDISPONIBLE","OK")))</f>
        <v/>
      </c>
      <c r="R178" s="9">
        <f>IF(OR(I178="",K178=""),"",IF(COUNTIFS(Chantiers_Zones!$B$2:$B$101,I178,Chantiers_Zones!$D$2:$D$101,K178,Chantiers_Zones!$E$2:$E$101,"Oui")&gt;0,"OK","ZONE INVALIDE"))</f>
        <v/>
      </c>
      <c r="S178" s="9">
        <f>IF(OR(B178="",I178=""),"",IFERROR(IF(AND(B178&gt;=_xlfn.XLOOKUP(I178,Chantiers_Zones!$B$2:$B$101,Chantiers_Zones!$F$2:$F$101),B178&lt;=_xlfn.XLOOKUP(I178,Chantiers_Zones!$B$2:$B$101,Chantiers_Zones!$G$2:$G$101)),"OK","HORS PÉRIODE"),"CHANTIER INCONNU"))</f>
        <v/>
      </c>
      <c r="T178" s="9">
        <f>IF(COUNTA(A178:D178,F178,I178,K178:O178)=0,"",IF(M178="Annulée","OK",IF(OR(A178="",B178="",C178="",D178="",F178="",I178="",K178="",L178="",M178=""),"INCOMPLET",IF(D178&lt;=C178,"HORAIRES INVALIDES",IF(OR(C178&lt;Paramètres!$B$3,D178&gt;Paramètres!$B$4),"HORS PLAGE",IF(P178&lt;&gt;"OK",P178,IF(Q178&lt;&gt;"OK",Q178,IF(R178&lt;&gt;"OK",R178,IF(S178&lt;&gt;"OK",S178,"OK")))))))))</f>
        <v/>
      </c>
    </row>
    <row r="179">
      <c r="A179" s="12" t="n"/>
      <c r="B179" s="24" t="n"/>
      <c r="C179" s="25" t="n"/>
      <c r="D179" s="25" t="n"/>
      <c r="E179" s="15">
        <f>IF(OR(C179="",D179=""),"",IF(D179&gt;C179,(D179-C179)*24,""))</f>
        <v/>
      </c>
      <c r="F179" s="12" t="n"/>
      <c r="G179" s="16">
        <f>IF(F179="","",IFERROR(_xlfn.XLOOKUP(F179,Intervenants!$A$2:$A$101,Intervenants!$B$2:$B$101),"ID inconnu"))</f>
        <v/>
      </c>
      <c r="H179" s="16">
        <f>IF(F179="","",IFERROR(_xlfn.XLOOKUP(F179,Intervenants!$A$2:$A$101,Intervenants!$C$2:$C$101),"ID inconnu"))</f>
        <v/>
      </c>
      <c r="I179" s="12" t="n"/>
      <c r="J179" s="16">
        <f>IF(I179="","",IFERROR(_xlfn.XLOOKUP(I179,Chantiers_Zones!$B$2:$B$101,Chantiers_Zones!$C$2:$C$101),"CHANTIER INCONNU"))</f>
        <v/>
      </c>
      <c r="K179" s="12" t="n"/>
      <c r="L179" s="12" t="n"/>
      <c r="M179" s="8" t="n"/>
      <c r="N179" s="8" t="n"/>
      <c r="O179" s="17" t="n"/>
      <c r="P179" s="9">
        <f>IF(M179="Annulée","OK",IF(OR(B179="",C179="",D179="",F179=""),"",IF(COUNTIFS($F$7:$F$206,F179,$B$7:$B$206,B179,$C$7:$C$206,"&lt;"&amp;D179,$D$7:$D$206,"&gt;"&amp;C179,$M$7:$M$206,"&lt;&gt;Annulée")&gt;1,"DOUBLE RÉSERVATION","OK")))</f>
        <v/>
      </c>
      <c r="Q179" s="9">
        <f>IF(M179="Annulée","OK",IF(OR(B179="",C179="",D179="",F179=""),"",IF(SUMPRODUCT((Indisponibilités!$A$2:$A$101=F179)*((Indisponibilités!$B$2:$B$101+Indisponibilités!$C$2:$C$101)&lt;(B179+D179))*((Indisponibilités!$D$2:$D$101+Indisponibilités!$E$2:$E$101)&gt;(B179+C179)))&gt;0,"INDISPONIBLE","OK")))</f>
        <v/>
      </c>
      <c r="R179" s="9">
        <f>IF(OR(I179="",K179=""),"",IF(COUNTIFS(Chantiers_Zones!$B$2:$B$101,I179,Chantiers_Zones!$D$2:$D$101,K179,Chantiers_Zones!$E$2:$E$101,"Oui")&gt;0,"OK","ZONE INVALIDE"))</f>
        <v/>
      </c>
      <c r="S179" s="9">
        <f>IF(OR(B179="",I179=""),"",IFERROR(IF(AND(B179&gt;=_xlfn.XLOOKUP(I179,Chantiers_Zones!$B$2:$B$101,Chantiers_Zones!$F$2:$F$101),B179&lt;=_xlfn.XLOOKUP(I179,Chantiers_Zones!$B$2:$B$101,Chantiers_Zones!$G$2:$G$101)),"OK","HORS PÉRIODE"),"CHANTIER INCONNU"))</f>
        <v/>
      </c>
      <c r="T179" s="9">
        <f>IF(COUNTA(A179:D179,F179,I179,K179:O179)=0,"",IF(M179="Annulée","OK",IF(OR(A179="",B179="",C179="",D179="",F179="",I179="",K179="",L179="",M179=""),"INCOMPLET",IF(D179&lt;=C179,"HORAIRES INVALIDES",IF(OR(C179&lt;Paramètres!$B$3,D179&gt;Paramètres!$B$4),"HORS PLAGE",IF(P179&lt;&gt;"OK",P179,IF(Q179&lt;&gt;"OK",Q179,IF(R179&lt;&gt;"OK",R179,IF(S179&lt;&gt;"OK",S179,"OK")))))))))</f>
        <v/>
      </c>
    </row>
    <row r="180">
      <c r="A180" s="12" t="n"/>
      <c r="B180" s="24" t="n"/>
      <c r="C180" s="25" t="n"/>
      <c r="D180" s="25" t="n"/>
      <c r="E180" s="15">
        <f>IF(OR(C180="",D180=""),"",IF(D180&gt;C180,(D180-C180)*24,""))</f>
        <v/>
      </c>
      <c r="F180" s="12" t="n"/>
      <c r="G180" s="16">
        <f>IF(F180="","",IFERROR(_xlfn.XLOOKUP(F180,Intervenants!$A$2:$A$101,Intervenants!$B$2:$B$101),"ID inconnu"))</f>
        <v/>
      </c>
      <c r="H180" s="16">
        <f>IF(F180="","",IFERROR(_xlfn.XLOOKUP(F180,Intervenants!$A$2:$A$101,Intervenants!$C$2:$C$101),"ID inconnu"))</f>
        <v/>
      </c>
      <c r="I180" s="12" t="n"/>
      <c r="J180" s="16">
        <f>IF(I180="","",IFERROR(_xlfn.XLOOKUP(I180,Chantiers_Zones!$B$2:$B$101,Chantiers_Zones!$C$2:$C$101),"CHANTIER INCONNU"))</f>
        <v/>
      </c>
      <c r="K180" s="12" t="n"/>
      <c r="L180" s="12" t="n"/>
      <c r="M180" s="8" t="n"/>
      <c r="N180" s="8" t="n"/>
      <c r="O180" s="17" t="n"/>
      <c r="P180" s="9">
        <f>IF(M180="Annulée","OK",IF(OR(B180="",C180="",D180="",F180=""),"",IF(COUNTIFS($F$7:$F$206,F180,$B$7:$B$206,B180,$C$7:$C$206,"&lt;"&amp;D180,$D$7:$D$206,"&gt;"&amp;C180,$M$7:$M$206,"&lt;&gt;Annulée")&gt;1,"DOUBLE RÉSERVATION","OK")))</f>
        <v/>
      </c>
      <c r="Q180" s="9">
        <f>IF(M180="Annulée","OK",IF(OR(B180="",C180="",D180="",F180=""),"",IF(SUMPRODUCT((Indisponibilités!$A$2:$A$101=F180)*((Indisponibilités!$B$2:$B$101+Indisponibilités!$C$2:$C$101)&lt;(B180+D180))*((Indisponibilités!$D$2:$D$101+Indisponibilités!$E$2:$E$101)&gt;(B180+C180)))&gt;0,"INDISPONIBLE","OK")))</f>
        <v/>
      </c>
      <c r="R180" s="9">
        <f>IF(OR(I180="",K180=""),"",IF(COUNTIFS(Chantiers_Zones!$B$2:$B$101,I180,Chantiers_Zones!$D$2:$D$101,K180,Chantiers_Zones!$E$2:$E$101,"Oui")&gt;0,"OK","ZONE INVALIDE"))</f>
        <v/>
      </c>
      <c r="S180" s="9">
        <f>IF(OR(B180="",I180=""),"",IFERROR(IF(AND(B180&gt;=_xlfn.XLOOKUP(I180,Chantiers_Zones!$B$2:$B$101,Chantiers_Zones!$F$2:$F$101),B180&lt;=_xlfn.XLOOKUP(I180,Chantiers_Zones!$B$2:$B$101,Chantiers_Zones!$G$2:$G$101)),"OK","HORS PÉRIODE"),"CHANTIER INCONNU"))</f>
        <v/>
      </c>
      <c r="T180" s="9">
        <f>IF(COUNTA(A180:D180,F180,I180,K180:O180)=0,"",IF(M180="Annulée","OK",IF(OR(A180="",B180="",C180="",D180="",F180="",I180="",K180="",L180="",M180=""),"INCOMPLET",IF(D180&lt;=C180,"HORAIRES INVALIDES",IF(OR(C180&lt;Paramètres!$B$3,D180&gt;Paramètres!$B$4),"HORS PLAGE",IF(P180&lt;&gt;"OK",P180,IF(Q180&lt;&gt;"OK",Q180,IF(R180&lt;&gt;"OK",R180,IF(S180&lt;&gt;"OK",S180,"OK")))))))))</f>
        <v/>
      </c>
    </row>
    <row r="181">
      <c r="A181" s="12" t="n"/>
      <c r="B181" s="24" t="n"/>
      <c r="C181" s="25" t="n"/>
      <c r="D181" s="25" t="n"/>
      <c r="E181" s="15">
        <f>IF(OR(C181="",D181=""),"",IF(D181&gt;C181,(D181-C181)*24,""))</f>
        <v/>
      </c>
      <c r="F181" s="12" t="n"/>
      <c r="G181" s="16">
        <f>IF(F181="","",IFERROR(_xlfn.XLOOKUP(F181,Intervenants!$A$2:$A$101,Intervenants!$B$2:$B$101),"ID inconnu"))</f>
        <v/>
      </c>
      <c r="H181" s="16">
        <f>IF(F181="","",IFERROR(_xlfn.XLOOKUP(F181,Intervenants!$A$2:$A$101,Intervenants!$C$2:$C$101),"ID inconnu"))</f>
        <v/>
      </c>
      <c r="I181" s="12" t="n"/>
      <c r="J181" s="16">
        <f>IF(I181="","",IFERROR(_xlfn.XLOOKUP(I181,Chantiers_Zones!$B$2:$B$101,Chantiers_Zones!$C$2:$C$101),"CHANTIER INCONNU"))</f>
        <v/>
      </c>
      <c r="K181" s="12" t="n"/>
      <c r="L181" s="12" t="n"/>
      <c r="M181" s="8" t="n"/>
      <c r="N181" s="8" t="n"/>
      <c r="O181" s="17" t="n"/>
      <c r="P181" s="9">
        <f>IF(M181="Annulée","OK",IF(OR(B181="",C181="",D181="",F181=""),"",IF(COUNTIFS($F$7:$F$206,F181,$B$7:$B$206,B181,$C$7:$C$206,"&lt;"&amp;D181,$D$7:$D$206,"&gt;"&amp;C181,$M$7:$M$206,"&lt;&gt;Annulée")&gt;1,"DOUBLE RÉSERVATION","OK")))</f>
        <v/>
      </c>
      <c r="Q181" s="9">
        <f>IF(M181="Annulée","OK",IF(OR(B181="",C181="",D181="",F181=""),"",IF(SUMPRODUCT((Indisponibilités!$A$2:$A$101=F181)*((Indisponibilités!$B$2:$B$101+Indisponibilités!$C$2:$C$101)&lt;(B181+D181))*((Indisponibilités!$D$2:$D$101+Indisponibilités!$E$2:$E$101)&gt;(B181+C181)))&gt;0,"INDISPONIBLE","OK")))</f>
        <v/>
      </c>
      <c r="R181" s="9">
        <f>IF(OR(I181="",K181=""),"",IF(COUNTIFS(Chantiers_Zones!$B$2:$B$101,I181,Chantiers_Zones!$D$2:$D$101,K181,Chantiers_Zones!$E$2:$E$101,"Oui")&gt;0,"OK","ZONE INVALIDE"))</f>
        <v/>
      </c>
      <c r="S181" s="9">
        <f>IF(OR(B181="",I181=""),"",IFERROR(IF(AND(B181&gt;=_xlfn.XLOOKUP(I181,Chantiers_Zones!$B$2:$B$101,Chantiers_Zones!$F$2:$F$101),B181&lt;=_xlfn.XLOOKUP(I181,Chantiers_Zones!$B$2:$B$101,Chantiers_Zones!$G$2:$G$101)),"OK","HORS PÉRIODE"),"CHANTIER INCONNU"))</f>
        <v/>
      </c>
      <c r="T181" s="9">
        <f>IF(COUNTA(A181:D181,F181,I181,K181:O181)=0,"",IF(M181="Annulée","OK",IF(OR(A181="",B181="",C181="",D181="",F181="",I181="",K181="",L181="",M181=""),"INCOMPLET",IF(D181&lt;=C181,"HORAIRES INVALIDES",IF(OR(C181&lt;Paramètres!$B$3,D181&gt;Paramètres!$B$4),"HORS PLAGE",IF(P181&lt;&gt;"OK",P181,IF(Q181&lt;&gt;"OK",Q181,IF(R181&lt;&gt;"OK",R181,IF(S181&lt;&gt;"OK",S181,"OK")))))))))</f>
        <v/>
      </c>
    </row>
    <row r="182">
      <c r="A182" s="12" t="n"/>
      <c r="B182" s="24" t="n"/>
      <c r="C182" s="25" t="n"/>
      <c r="D182" s="25" t="n"/>
      <c r="E182" s="15">
        <f>IF(OR(C182="",D182=""),"",IF(D182&gt;C182,(D182-C182)*24,""))</f>
        <v/>
      </c>
      <c r="F182" s="12" t="n"/>
      <c r="G182" s="16">
        <f>IF(F182="","",IFERROR(_xlfn.XLOOKUP(F182,Intervenants!$A$2:$A$101,Intervenants!$B$2:$B$101),"ID inconnu"))</f>
        <v/>
      </c>
      <c r="H182" s="16">
        <f>IF(F182="","",IFERROR(_xlfn.XLOOKUP(F182,Intervenants!$A$2:$A$101,Intervenants!$C$2:$C$101),"ID inconnu"))</f>
        <v/>
      </c>
      <c r="I182" s="12" t="n"/>
      <c r="J182" s="16">
        <f>IF(I182="","",IFERROR(_xlfn.XLOOKUP(I182,Chantiers_Zones!$B$2:$B$101,Chantiers_Zones!$C$2:$C$101),"CHANTIER INCONNU"))</f>
        <v/>
      </c>
      <c r="K182" s="12" t="n"/>
      <c r="L182" s="12" t="n"/>
      <c r="M182" s="8" t="n"/>
      <c r="N182" s="8" t="n"/>
      <c r="O182" s="17" t="n"/>
      <c r="P182" s="9">
        <f>IF(M182="Annulée","OK",IF(OR(B182="",C182="",D182="",F182=""),"",IF(COUNTIFS($F$7:$F$206,F182,$B$7:$B$206,B182,$C$7:$C$206,"&lt;"&amp;D182,$D$7:$D$206,"&gt;"&amp;C182,$M$7:$M$206,"&lt;&gt;Annulée")&gt;1,"DOUBLE RÉSERVATION","OK")))</f>
        <v/>
      </c>
      <c r="Q182" s="9">
        <f>IF(M182="Annulée","OK",IF(OR(B182="",C182="",D182="",F182=""),"",IF(SUMPRODUCT((Indisponibilités!$A$2:$A$101=F182)*((Indisponibilités!$B$2:$B$101+Indisponibilités!$C$2:$C$101)&lt;(B182+D182))*((Indisponibilités!$D$2:$D$101+Indisponibilités!$E$2:$E$101)&gt;(B182+C182)))&gt;0,"INDISPONIBLE","OK")))</f>
        <v/>
      </c>
      <c r="R182" s="9">
        <f>IF(OR(I182="",K182=""),"",IF(COUNTIFS(Chantiers_Zones!$B$2:$B$101,I182,Chantiers_Zones!$D$2:$D$101,K182,Chantiers_Zones!$E$2:$E$101,"Oui")&gt;0,"OK","ZONE INVALIDE"))</f>
        <v/>
      </c>
      <c r="S182" s="9">
        <f>IF(OR(B182="",I182=""),"",IFERROR(IF(AND(B182&gt;=_xlfn.XLOOKUP(I182,Chantiers_Zones!$B$2:$B$101,Chantiers_Zones!$F$2:$F$101),B182&lt;=_xlfn.XLOOKUP(I182,Chantiers_Zones!$B$2:$B$101,Chantiers_Zones!$G$2:$G$101)),"OK","HORS PÉRIODE"),"CHANTIER INCONNU"))</f>
        <v/>
      </c>
      <c r="T182" s="9">
        <f>IF(COUNTA(A182:D182,F182,I182,K182:O182)=0,"",IF(M182="Annulée","OK",IF(OR(A182="",B182="",C182="",D182="",F182="",I182="",K182="",L182="",M182=""),"INCOMPLET",IF(D182&lt;=C182,"HORAIRES INVALIDES",IF(OR(C182&lt;Paramètres!$B$3,D182&gt;Paramètres!$B$4),"HORS PLAGE",IF(P182&lt;&gt;"OK",P182,IF(Q182&lt;&gt;"OK",Q182,IF(R182&lt;&gt;"OK",R182,IF(S182&lt;&gt;"OK",S182,"OK")))))))))</f>
        <v/>
      </c>
    </row>
    <row r="183">
      <c r="A183" s="12" t="n"/>
      <c r="B183" s="24" t="n"/>
      <c r="C183" s="25" t="n"/>
      <c r="D183" s="25" t="n"/>
      <c r="E183" s="15">
        <f>IF(OR(C183="",D183=""),"",IF(D183&gt;C183,(D183-C183)*24,""))</f>
        <v/>
      </c>
      <c r="F183" s="12" t="n"/>
      <c r="G183" s="16">
        <f>IF(F183="","",IFERROR(_xlfn.XLOOKUP(F183,Intervenants!$A$2:$A$101,Intervenants!$B$2:$B$101),"ID inconnu"))</f>
        <v/>
      </c>
      <c r="H183" s="16">
        <f>IF(F183="","",IFERROR(_xlfn.XLOOKUP(F183,Intervenants!$A$2:$A$101,Intervenants!$C$2:$C$101),"ID inconnu"))</f>
        <v/>
      </c>
      <c r="I183" s="12" t="n"/>
      <c r="J183" s="16">
        <f>IF(I183="","",IFERROR(_xlfn.XLOOKUP(I183,Chantiers_Zones!$B$2:$B$101,Chantiers_Zones!$C$2:$C$101),"CHANTIER INCONNU"))</f>
        <v/>
      </c>
      <c r="K183" s="12" t="n"/>
      <c r="L183" s="12" t="n"/>
      <c r="M183" s="8" t="n"/>
      <c r="N183" s="8" t="n"/>
      <c r="O183" s="17" t="n"/>
      <c r="P183" s="9">
        <f>IF(M183="Annulée","OK",IF(OR(B183="",C183="",D183="",F183=""),"",IF(COUNTIFS($F$7:$F$206,F183,$B$7:$B$206,B183,$C$7:$C$206,"&lt;"&amp;D183,$D$7:$D$206,"&gt;"&amp;C183,$M$7:$M$206,"&lt;&gt;Annulée")&gt;1,"DOUBLE RÉSERVATION","OK")))</f>
        <v/>
      </c>
      <c r="Q183" s="9">
        <f>IF(M183="Annulée","OK",IF(OR(B183="",C183="",D183="",F183=""),"",IF(SUMPRODUCT((Indisponibilités!$A$2:$A$101=F183)*((Indisponibilités!$B$2:$B$101+Indisponibilités!$C$2:$C$101)&lt;(B183+D183))*((Indisponibilités!$D$2:$D$101+Indisponibilités!$E$2:$E$101)&gt;(B183+C183)))&gt;0,"INDISPONIBLE","OK")))</f>
        <v/>
      </c>
      <c r="R183" s="9">
        <f>IF(OR(I183="",K183=""),"",IF(COUNTIFS(Chantiers_Zones!$B$2:$B$101,I183,Chantiers_Zones!$D$2:$D$101,K183,Chantiers_Zones!$E$2:$E$101,"Oui")&gt;0,"OK","ZONE INVALIDE"))</f>
        <v/>
      </c>
      <c r="S183" s="9">
        <f>IF(OR(B183="",I183=""),"",IFERROR(IF(AND(B183&gt;=_xlfn.XLOOKUP(I183,Chantiers_Zones!$B$2:$B$101,Chantiers_Zones!$F$2:$F$101),B183&lt;=_xlfn.XLOOKUP(I183,Chantiers_Zones!$B$2:$B$101,Chantiers_Zones!$G$2:$G$101)),"OK","HORS PÉRIODE"),"CHANTIER INCONNU"))</f>
        <v/>
      </c>
      <c r="T183" s="9">
        <f>IF(COUNTA(A183:D183,F183,I183,K183:O183)=0,"",IF(M183="Annulée","OK",IF(OR(A183="",B183="",C183="",D183="",F183="",I183="",K183="",L183="",M183=""),"INCOMPLET",IF(D183&lt;=C183,"HORAIRES INVALIDES",IF(OR(C183&lt;Paramètres!$B$3,D183&gt;Paramètres!$B$4),"HORS PLAGE",IF(P183&lt;&gt;"OK",P183,IF(Q183&lt;&gt;"OK",Q183,IF(R183&lt;&gt;"OK",R183,IF(S183&lt;&gt;"OK",S183,"OK")))))))))</f>
        <v/>
      </c>
    </row>
    <row r="184">
      <c r="A184" s="12" t="n"/>
      <c r="B184" s="24" t="n"/>
      <c r="C184" s="25" t="n"/>
      <c r="D184" s="25" t="n"/>
      <c r="E184" s="15">
        <f>IF(OR(C184="",D184=""),"",IF(D184&gt;C184,(D184-C184)*24,""))</f>
        <v/>
      </c>
      <c r="F184" s="12" t="n"/>
      <c r="G184" s="16">
        <f>IF(F184="","",IFERROR(_xlfn.XLOOKUP(F184,Intervenants!$A$2:$A$101,Intervenants!$B$2:$B$101),"ID inconnu"))</f>
        <v/>
      </c>
      <c r="H184" s="16">
        <f>IF(F184="","",IFERROR(_xlfn.XLOOKUP(F184,Intervenants!$A$2:$A$101,Intervenants!$C$2:$C$101),"ID inconnu"))</f>
        <v/>
      </c>
      <c r="I184" s="12" t="n"/>
      <c r="J184" s="16">
        <f>IF(I184="","",IFERROR(_xlfn.XLOOKUP(I184,Chantiers_Zones!$B$2:$B$101,Chantiers_Zones!$C$2:$C$101),"CHANTIER INCONNU"))</f>
        <v/>
      </c>
      <c r="K184" s="12" t="n"/>
      <c r="L184" s="12" t="n"/>
      <c r="M184" s="8" t="n"/>
      <c r="N184" s="8" t="n"/>
      <c r="O184" s="17" t="n"/>
      <c r="P184" s="9">
        <f>IF(M184="Annulée","OK",IF(OR(B184="",C184="",D184="",F184=""),"",IF(COUNTIFS($F$7:$F$206,F184,$B$7:$B$206,B184,$C$7:$C$206,"&lt;"&amp;D184,$D$7:$D$206,"&gt;"&amp;C184,$M$7:$M$206,"&lt;&gt;Annulée")&gt;1,"DOUBLE RÉSERVATION","OK")))</f>
        <v/>
      </c>
      <c r="Q184" s="9">
        <f>IF(M184="Annulée","OK",IF(OR(B184="",C184="",D184="",F184=""),"",IF(SUMPRODUCT((Indisponibilités!$A$2:$A$101=F184)*((Indisponibilités!$B$2:$B$101+Indisponibilités!$C$2:$C$101)&lt;(B184+D184))*((Indisponibilités!$D$2:$D$101+Indisponibilités!$E$2:$E$101)&gt;(B184+C184)))&gt;0,"INDISPONIBLE","OK")))</f>
        <v/>
      </c>
      <c r="R184" s="9">
        <f>IF(OR(I184="",K184=""),"",IF(COUNTIFS(Chantiers_Zones!$B$2:$B$101,I184,Chantiers_Zones!$D$2:$D$101,K184,Chantiers_Zones!$E$2:$E$101,"Oui")&gt;0,"OK","ZONE INVALIDE"))</f>
        <v/>
      </c>
      <c r="S184" s="9">
        <f>IF(OR(B184="",I184=""),"",IFERROR(IF(AND(B184&gt;=_xlfn.XLOOKUP(I184,Chantiers_Zones!$B$2:$B$101,Chantiers_Zones!$F$2:$F$101),B184&lt;=_xlfn.XLOOKUP(I184,Chantiers_Zones!$B$2:$B$101,Chantiers_Zones!$G$2:$G$101)),"OK","HORS PÉRIODE"),"CHANTIER INCONNU"))</f>
        <v/>
      </c>
      <c r="T184" s="9">
        <f>IF(COUNTA(A184:D184,F184,I184,K184:O184)=0,"",IF(M184="Annulée","OK",IF(OR(A184="",B184="",C184="",D184="",F184="",I184="",K184="",L184="",M184=""),"INCOMPLET",IF(D184&lt;=C184,"HORAIRES INVALIDES",IF(OR(C184&lt;Paramètres!$B$3,D184&gt;Paramètres!$B$4),"HORS PLAGE",IF(P184&lt;&gt;"OK",P184,IF(Q184&lt;&gt;"OK",Q184,IF(R184&lt;&gt;"OK",R184,IF(S184&lt;&gt;"OK",S184,"OK")))))))))</f>
        <v/>
      </c>
    </row>
    <row r="185">
      <c r="A185" s="12" t="n"/>
      <c r="B185" s="24" t="n"/>
      <c r="C185" s="25" t="n"/>
      <c r="D185" s="25" t="n"/>
      <c r="E185" s="15">
        <f>IF(OR(C185="",D185=""),"",IF(D185&gt;C185,(D185-C185)*24,""))</f>
        <v/>
      </c>
      <c r="F185" s="12" t="n"/>
      <c r="G185" s="16">
        <f>IF(F185="","",IFERROR(_xlfn.XLOOKUP(F185,Intervenants!$A$2:$A$101,Intervenants!$B$2:$B$101),"ID inconnu"))</f>
        <v/>
      </c>
      <c r="H185" s="16">
        <f>IF(F185="","",IFERROR(_xlfn.XLOOKUP(F185,Intervenants!$A$2:$A$101,Intervenants!$C$2:$C$101),"ID inconnu"))</f>
        <v/>
      </c>
      <c r="I185" s="12" t="n"/>
      <c r="J185" s="16">
        <f>IF(I185="","",IFERROR(_xlfn.XLOOKUP(I185,Chantiers_Zones!$B$2:$B$101,Chantiers_Zones!$C$2:$C$101),"CHANTIER INCONNU"))</f>
        <v/>
      </c>
      <c r="K185" s="12" t="n"/>
      <c r="L185" s="12" t="n"/>
      <c r="M185" s="8" t="n"/>
      <c r="N185" s="8" t="n"/>
      <c r="O185" s="17" t="n"/>
      <c r="P185" s="9">
        <f>IF(M185="Annulée","OK",IF(OR(B185="",C185="",D185="",F185=""),"",IF(COUNTIFS($F$7:$F$206,F185,$B$7:$B$206,B185,$C$7:$C$206,"&lt;"&amp;D185,$D$7:$D$206,"&gt;"&amp;C185,$M$7:$M$206,"&lt;&gt;Annulée")&gt;1,"DOUBLE RÉSERVATION","OK")))</f>
        <v/>
      </c>
      <c r="Q185" s="9">
        <f>IF(M185="Annulée","OK",IF(OR(B185="",C185="",D185="",F185=""),"",IF(SUMPRODUCT((Indisponibilités!$A$2:$A$101=F185)*((Indisponibilités!$B$2:$B$101+Indisponibilités!$C$2:$C$101)&lt;(B185+D185))*((Indisponibilités!$D$2:$D$101+Indisponibilités!$E$2:$E$101)&gt;(B185+C185)))&gt;0,"INDISPONIBLE","OK")))</f>
        <v/>
      </c>
      <c r="R185" s="9">
        <f>IF(OR(I185="",K185=""),"",IF(COUNTIFS(Chantiers_Zones!$B$2:$B$101,I185,Chantiers_Zones!$D$2:$D$101,K185,Chantiers_Zones!$E$2:$E$101,"Oui")&gt;0,"OK","ZONE INVALIDE"))</f>
        <v/>
      </c>
      <c r="S185" s="9">
        <f>IF(OR(B185="",I185=""),"",IFERROR(IF(AND(B185&gt;=_xlfn.XLOOKUP(I185,Chantiers_Zones!$B$2:$B$101,Chantiers_Zones!$F$2:$F$101),B185&lt;=_xlfn.XLOOKUP(I185,Chantiers_Zones!$B$2:$B$101,Chantiers_Zones!$G$2:$G$101)),"OK","HORS PÉRIODE"),"CHANTIER INCONNU"))</f>
        <v/>
      </c>
      <c r="T185" s="9">
        <f>IF(COUNTA(A185:D185,F185,I185,K185:O185)=0,"",IF(M185="Annulée","OK",IF(OR(A185="",B185="",C185="",D185="",F185="",I185="",K185="",L185="",M185=""),"INCOMPLET",IF(D185&lt;=C185,"HORAIRES INVALIDES",IF(OR(C185&lt;Paramètres!$B$3,D185&gt;Paramètres!$B$4),"HORS PLAGE",IF(P185&lt;&gt;"OK",P185,IF(Q185&lt;&gt;"OK",Q185,IF(R185&lt;&gt;"OK",R185,IF(S185&lt;&gt;"OK",S185,"OK")))))))))</f>
        <v/>
      </c>
    </row>
    <row r="186">
      <c r="A186" s="12" t="n"/>
      <c r="B186" s="24" t="n"/>
      <c r="C186" s="25" t="n"/>
      <c r="D186" s="25" t="n"/>
      <c r="E186" s="15">
        <f>IF(OR(C186="",D186=""),"",IF(D186&gt;C186,(D186-C186)*24,""))</f>
        <v/>
      </c>
      <c r="F186" s="12" t="n"/>
      <c r="G186" s="16">
        <f>IF(F186="","",IFERROR(_xlfn.XLOOKUP(F186,Intervenants!$A$2:$A$101,Intervenants!$B$2:$B$101),"ID inconnu"))</f>
        <v/>
      </c>
      <c r="H186" s="16">
        <f>IF(F186="","",IFERROR(_xlfn.XLOOKUP(F186,Intervenants!$A$2:$A$101,Intervenants!$C$2:$C$101),"ID inconnu"))</f>
        <v/>
      </c>
      <c r="I186" s="12" t="n"/>
      <c r="J186" s="16">
        <f>IF(I186="","",IFERROR(_xlfn.XLOOKUP(I186,Chantiers_Zones!$B$2:$B$101,Chantiers_Zones!$C$2:$C$101),"CHANTIER INCONNU"))</f>
        <v/>
      </c>
      <c r="K186" s="12" t="n"/>
      <c r="L186" s="12" t="n"/>
      <c r="M186" s="8" t="n"/>
      <c r="N186" s="8" t="n"/>
      <c r="O186" s="17" t="n"/>
      <c r="P186" s="9">
        <f>IF(M186="Annulée","OK",IF(OR(B186="",C186="",D186="",F186=""),"",IF(COUNTIFS($F$7:$F$206,F186,$B$7:$B$206,B186,$C$7:$C$206,"&lt;"&amp;D186,$D$7:$D$206,"&gt;"&amp;C186,$M$7:$M$206,"&lt;&gt;Annulée")&gt;1,"DOUBLE RÉSERVATION","OK")))</f>
        <v/>
      </c>
      <c r="Q186" s="9">
        <f>IF(M186="Annulée","OK",IF(OR(B186="",C186="",D186="",F186=""),"",IF(SUMPRODUCT((Indisponibilités!$A$2:$A$101=F186)*((Indisponibilités!$B$2:$B$101+Indisponibilités!$C$2:$C$101)&lt;(B186+D186))*((Indisponibilités!$D$2:$D$101+Indisponibilités!$E$2:$E$101)&gt;(B186+C186)))&gt;0,"INDISPONIBLE","OK")))</f>
        <v/>
      </c>
      <c r="R186" s="9">
        <f>IF(OR(I186="",K186=""),"",IF(COUNTIFS(Chantiers_Zones!$B$2:$B$101,I186,Chantiers_Zones!$D$2:$D$101,K186,Chantiers_Zones!$E$2:$E$101,"Oui")&gt;0,"OK","ZONE INVALIDE"))</f>
        <v/>
      </c>
      <c r="S186" s="9">
        <f>IF(OR(B186="",I186=""),"",IFERROR(IF(AND(B186&gt;=_xlfn.XLOOKUP(I186,Chantiers_Zones!$B$2:$B$101,Chantiers_Zones!$F$2:$F$101),B186&lt;=_xlfn.XLOOKUP(I186,Chantiers_Zones!$B$2:$B$101,Chantiers_Zones!$G$2:$G$101)),"OK","HORS PÉRIODE"),"CHANTIER INCONNU"))</f>
        <v/>
      </c>
      <c r="T186" s="9">
        <f>IF(COUNTA(A186:D186,F186,I186,K186:O186)=0,"",IF(M186="Annulée","OK",IF(OR(A186="",B186="",C186="",D186="",F186="",I186="",K186="",L186="",M186=""),"INCOMPLET",IF(D186&lt;=C186,"HORAIRES INVALIDES",IF(OR(C186&lt;Paramètres!$B$3,D186&gt;Paramètres!$B$4),"HORS PLAGE",IF(P186&lt;&gt;"OK",P186,IF(Q186&lt;&gt;"OK",Q186,IF(R186&lt;&gt;"OK",R186,IF(S186&lt;&gt;"OK",S186,"OK")))))))))</f>
        <v/>
      </c>
    </row>
    <row r="187">
      <c r="A187" s="12" t="n"/>
      <c r="B187" s="24" t="n"/>
      <c r="C187" s="25" t="n"/>
      <c r="D187" s="25" t="n"/>
      <c r="E187" s="15">
        <f>IF(OR(C187="",D187=""),"",IF(D187&gt;C187,(D187-C187)*24,""))</f>
        <v/>
      </c>
      <c r="F187" s="12" t="n"/>
      <c r="G187" s="16">
        <f>IF(F187="","",IFERROR(_xlfn.XLOOKUP(F187,Intervenants!$A$2:$A$101,Intervenants!$B$2:$B$101),"ID inconnu"))</f>
        <v/>
      </c>
      <c r="H187" s="16">
        <f>IF(F187="","",IFERROR(_xlfn.XLOOKUP(F187,Intervenants!$A$2:$A$101,Intervenants!$C$2:$C$101),"ID inconnu"))</f>
        <v/>
      </c>
      <c r="I187" s="12" t="n"/>
      <c r="J187" s="16">
        <f>IF(I187="","",IFERROR(_xlfn.XLOOKUP(I187,Chantiers_Zones!$B$2:$B$101,Chantiers_Zones!$C$2:$C$101),"CHANTIER INCONNU"))</f>
        <v/>
      </c>
      <c r="K187" s="12" t="n"/>
      <c r="L187" s="12" t="n"/>
      <c r="M187" s="8" t="n"/>
      <c r="N187" s="8" t="n"/>
      <c r="O187" s="17" t="n"/>
      <c r="P187" s="9">
        <f>IF(M187="Annulée","OK",IF(OR(B187="",C187="",D187="",F187=""),"",IF(COUNTIFS($F$7:$F$206,F187,$B$7:$B$206,B187,$C$7:$C$206,"&lt;"&amp;D187,$D$7:$D$206,"&gt;"&amp;C187,$M$7:$M$206,"&lt;&gt;Annulée")&gt;1,"DOUBLE RÉSERVATION","OK")))</f>
        <v/>
      </c>
      <c r="Q187" s="9">
        <f>IF(M187="Annulée","OK",IF(OR(B187="",C187="",D187="",F187=""),"",IF(SUMPRODUCT((Indisponibilités!$A$2:$A$101=F187)*((Indisponibilités!$B$2:$B$101+Indisponibilités!$C$2:$C$101)&lt;(B187+D187))*((Indisponibilités!$D$2:$D$101+Indisponibilités!$E$2:$E$101)&gt;(B187+C187)))&gt;0,"INDISPONIBLE","OK")))</f>
        <v/>
      </c>
      <c r="R187" s="9">
        <f>IF(OR(I187="",K187=""),"",IF(COUNTIFS(Chantiers_Zones!$B$2:$B$101,I187,Chantiers_Zones!$D$2:$D$101,K187,Chantiers_Zones!$E$2:$E$101,"Oui")&gt;0,"OK","ZONE INVALIDE"))</f>
        <v/>
      </c>
      <c r="S187" s="9">
        <f>IF(OR(B187="",I187=""),"",IFERROR(IF(AND(B187&gt;=_xlfn.XLOOKUP(I187,Chantiers_Zones!$B$2:$B$101,Chantiers_Zones!$F$2:$F$101),B187&lt;=_xlfn.XLOOKUP(I187,Chantiers_Zones!$B$2:$B$101,Chantiers_Zones!$G$2:$G$101)),"OK","HORS PÉRIODE"),"CHANTIER INCONNU"))</f>
        <v/>
      </c>
      <c r="T187" s="9">
        <f>IF(COUNTA(A187:D187,F187,I187,K187:O187)=0,"",IF(M187="Annulée","OK",IF(OR(A187="",B187="",C187="",D187="",F187="",I187="",K187="",L187="",M187=""),"INCOMPLET",IF(D187&lt;=C187,"HORAIRES INVALIDES",IF(OR(C187&lt;Paramètres!$B$3,D187&gt;Paramètres!$B$4),"HORS PLAGE",IF(P187&lt;&gt;"OK",P187,IF(Q187&lt;&gt;"OK",Q187,IF(R187&lt;&gt;"OK",R187,IF(S187&lt;&gt;"OK",S187,"OK")))))))))</f>
        <v/>
      </c>
    </row>
    <row r="188">
      <c r="A188" s="12" t="n"/>
      <c r="B188" s="24" t="n"/>
      <c r="C188" s="25" t="n"/>
      <c r="D188" s="25" t="n"/>
      <c r="E188" s="15">
        <f>IF(OR(C188="",D188=""),"",IF(D188&gt;C188,(D188-C188)*24,""))</f>
        <v/>
      </c>
      <c r="F188" s="12" t="n"/>
      <c r="G188" s="16">
        <f>IF(F188="","",IFERROR(_xlfn.XLOOKUP(F188,Intervenants!$A$2:$A$101,Intervenants!$B$2:$B$101),"ID inconnu"))</f>
        <v/>
      </c>
      <c r="H188" s="16">
        <f>IF(F188="","",IFERROR(_xlfn.XLOOKUP(F188,Intervenants!$A$2:$A$101,Intervenants!$C$2:$C$101),"ID inconnu"))</f>
        <v/>
      </c>
      <c r="I188" s="12" t="n"/>
      <c r="J188" s="16">
        <f>IF(I188="","",IFERROR(_xlfn.XLOOKUP(I188,Chantiers_Zones!$B$2:$B$101,Chantiers_Zones!$C$2:$C$101),"CHANTIER INCONNU"))</f>
        <v/>
      </c>
      <c r="K188" s="12" t="n"/>
      <c r="L188" s="12" t="n"/>
      <c r="M188" s="8" t="n"/>
      <c r="N188" s="8" t="n"/>
      <c r="O188" s="17" t="n"/>
      <c r="P188" s="9">
        <f>IF(M188="Annulée","OK",IF(OR(B188="",C188="",D188="",F188=""),"",IF(COUNTIFS($F$7:$F$206,F188,$B$7:$B$206,B188,$C$7:$C$206,"&lt;"&amp;D188,$D$7:$D$206,"&gt;"&amp;C188,$M$7:$M$206,"&lt;&gt;Annulée")&gt;1,"DOUBLE RÉSERVATION","OK")))</f>
        <v/>
      </c>
      <c r="Q188" s="9">
        <f>IF(M188="Annulée","OK",IF(OR(B188="",C188="",D188="",F188=""),"",IF(SUMPRODUCT((Indisponibilités!$A$2:$A$101=F188)*((Indisponibilités!$B$2:$B$101+Indisponibilités!$C$2:$C$101)&lt;(B188+D188))*((Indisponibilités!$D$2:$D$101+Indisponibilités!$E$2:$E$101)&gt;(B188+C188)))&gt;0,"INDISPONIBLE","OK")))</f>
        <v/>
      </c>
      <c r="R188" s="9">
        <f>IF(OR(I188="",K188=""),"",IF(COUNTIFS(Chantiers_Zones!$B$2:$B$101,I188,Chantiers_Zones!$D$2:$D$101,K188,Chantiers_Zones!$E$2:$E$101,"Oui")&gt;0,"OK","ZONE INVALIDE"))</f>
        <v/>
      </c>
      <c r="S188" s="9">
        <f>IF(OR(B188="",I188=""),"",IFERROR(IF(AND(B188&gt;=_xlfn.XLOOKUP(I188,Chantiers_Zones!$B$2:$B$101,Chantiers_Zones!$F$2:$F$101),B188&lt;=_xlfn.XLOOKUP(I188,Chantiers_Zones!$B$2:$B$101,Chantiers_Zones!$G$2:$G$101)),"OK","HORS PÉRIODE"),"CHANTIER INCONNU"))</f>
        <v/>
      </c>
      <c r="T188" s="9">
        <f>IF(COUNTA(A188:D188,F188,I188,K188:O188)=0,"",IF(M188="Annulée","OK",IF(OR(A188="",B188="",C188="",D188="",F188="",I188="",K188="",L188="",M188=""),"INCOMPLET",IF(D188&lt;=C188,"HORAIRES INVALIDES",IF(OR(C188&lt;Paramètres!$B$3,D188&gt;Paramètres!$B$4),"HORS PLAGE",IF(P188&lt;&gt;"OK",P188,IF(Q188&lt;&gt;"OK",Q188,IF(R188&lt;&gt;"OK",R188,IF(S188&lt;&gt;"OK",S188,"OK")))))))))</f>
        <v/>
      </c>
    </row>
    <row r="189">
      <c r="A189" s="12" t="n"/>
      <c r="B189" s="24" t="n"/>
      <c r="C189" s="25" t="n"/>
      <c r="D189" s="25" t="n"/>
      <c r="E189" s="15">
        <f>IF(OR(C189="",D189=""),"",IF(D189&gt;C189,(D189-C189)*24,""))</f>
        <v/>
      </c>
      <c r="F189" s="12" t="n"/>
      <c r="G189" s="16">
        <f>IF(F189="","",IFERROR(_xlfn.XLOOKUP(F189,Intervenants!$A$2:$A$101,Intervenants!$B$2:$B$101),"ID inconnu"))</f>
        <v/>
      </c>
      <c r="H189" s="16">
        <f>IF(F189="","",IFERROR(_xlfn.XLOOKUP(F189,Intervenants!$A$2:$A$101,Intervenants!$C$2:$C$101),"ID inconnu"))</f>
        <v/>
      </c>
      <c r="I189" s="12" t="n"/>
      <c r="J189" s="16">
        <f>IF(I189="","",IFERROR(_xlfn.XLOOKUP(I189,Chantiers_Zones!$B$2:$B$101,Chantiers_Zones!$C$2:$C$101),"CHANTIER INCONNU"))</f>
        <v/>
      </c>
      <c r="K189" s="12" t="n"/>
      <c r="L189" s="12" t="n"/>
      <c r="M189" s="8" t="n"/>
      <c r="N189" s="8" t="n"/>
      <c r="O189" s="17" t="n"/>
      <c r="P189" s="9">
        <f>IF(M189="Annulée","OK",IF(OR(B189="",C189="",D189="",F189=""),"",IF(COUNTIFS($F$7:$F$206,F189,$B$7:$B$206,B189,$C$7:$C$206,"&lt;"&amp;D189,$D$7:$D$206,"&gt;"&amp;C189,$M$7:$M$206,"&lt;&gt;Annulée")&gt;1,"DOUBLE RÉSERVATION","OK")))</f>
        <v/>
      </c>
      <c r="Q189" s="9">
        <f>IF(M189="Annulée","OK",IF(OR(B189="",C189="",D189="",F189=""),"",IF(SUMPRODUCT((Indisponibilités!$A$2:$A$101=F189)*((Indisponibilités!$B$2:$B$101+Indisponibilités!$C$2:$C$101)&lt;(B189+D189))*((Indisponibilités!$D$2:$D$101+Indisponibilités!$E$2:$E$101)&gt;(B189+C189)))&gt;0,"INDISPONIBLE","OK")))</f>
        <v/>
      </c>
      <c r="R189" s="9">
        <f>IF(OR(I189="",K189=""),"",IF(COUNTIFS(Chantiers_Zones!$B$2:$B$101,I189,Chantiers_Zones!$D$2:$D$101,K189,Chantiers_Zones!$E$2:$E$101,"Oui")&gt;0,"OK","ZONE INVALIDE"))</f>
        <v/>
      </c>
      <c r="S189" s="9">
        <f>IF(OR(B189="",I189=""),"",IFERROR(IF(AND(B189&gt;=_xlfn.XLOOKUP(I189,Chantiers_Zones!$B$2:$B$101,Chantiers_Zones!$F$2:$F$101),B189&lt;=_xlfn.XLOOKUP(I189,Chantiers_Zones!$B$2:$B$101,Chantiers_Zones!$G$2:$G$101)),"OK","HORS PÉRIODE"),"CHANTIER INCONNU"))</f>
        <v/>
      </c>
      <c r="T189" s="9">
        <f>IF(COUNTA(A189:D189,F189,I189,K189:O189)=0,"",IF(M189="Annulée","OK",IF(OR(A189="",B189="",C189="",D189="",F189="",I189="",K189="",L189="",M189=""),"INCOMPLET",IF(D189&lt;=C189,"HORAIRES INVALIDES",IF(OR(C189&lt;Paramètres!$B$3,D189&gt;Paramètres!$B$4),"HORS PLAGE",IF(P189&lt;&gt;"OK",P189,IF(Q189&lt;&gt;"OK",Q189,IF(R189&lt;&gt;"OK",R189,IF(S189&lt;&gt;"OK",S189,"OK")))))))))</f>
        <v/>
      </c>
    </row>
    <row r="190">
      <c r="A190" s="12" t="n"/>
      <c r="B190" s="24" t="n"/>
      <c r="C190" s="25" t="n"/>
      <c r="D190" s="25" t="n"/>
      <c r="E190" s="15">
        <f>IF(OR(C190="",D190=""),"",IF(D190&gt;C190,(D190-C190)*24,""))</f>
        <v/>
      </c>
      <c r="F190" s="12" t="n"/>
      <c r="G190" s="16">
        <f>IF(F190="","",IFERROR(_xlfn.XLOOKUP(F190,Intervenants!$A$2:$A$101,Intervenants!$B$2:$B$101),"ID inconnu"))</f>
        <v/>
      </c>
      <c r="H190" s="16">
        <f>IF(F190="","",IFERROR(_xlfn.XLOOKUP(F190,Intervenants!$A$2:$A$101,Intervenants!$C$2:$C$101),"ID inconnu"))</f>
        <v/>
      </c>
      <c r="I190" s="12" t="n"/>
      <c r="J190" s="16">
        <f>IF(I190="","",IFERROR(_xlfn.XLOOKUP(I190,Chantiers_Zones!$B$2:$B$101,Chantiers_Zones!$C$2:$C$101),"CHANTIER INCONNU"))</f>
        <v/>
      </c>
      <c r="K190" s="12" t="n"/>
      <c r="L190" s="12" t="n"/>
      <c r="M190" s="8" t="n"/>
      <c r="N190" s="8" t="n"/>
      <c r="O190" s="17" t="n"/>
      <c r="P190" s="9">
        <f>IF(M190="Annulée","OK",IF(OR(B190="",C190="",D190="",F190=""),"",IF(COUNTIFS($F$7:$F$206,F190,$B$7:$B$206,B190,$C$7:$C$206,"&lt;"&amp;D190,$D$7:$D$206,"&gt;"&amp;C190,$M$7:$M$206,"&lt;&gt;Annulée")&gt;1,"DOUBLE RÉSERVATION","OK")))</f>
        <v/>
      </c>
      <c r="Q190" s="9">
        <f>IF(M190="Annulée","OK",IF(OR(B190="",C190="",D190="",F190=""),"",IF(SUMPRODUCT((Indisponibilités!$A$2:$A$101=F190)*((Indisponibilités!$B$2:$B$101+Indisponibilités!$C$2:$C$101)&lt;(B190+D190))*((Indisponibilités!$D$2:$D$101+Indisponibilités!$E$2:$E$101)&gt;(B190+C190)))&gt;0,"INDISPONIBLE","OK")))</f>
        <v/>
      </c>
      <c r="R190" s="9">
        <f>IF(OR(I190="",K190=""),"",IF(COUNTIFS(Chantiers_Zones!$B$2:$B$101,I190,Chantiers_Zones!$D$2:$D$101,K190,Chantiers_Zones!$E$2:$E$101,"Oui")&gt;0,"OK","ZONE INVALIDE"))</f>
        <v/>
      </c>
      <c r="S190" s="9">
        <f>IF(OR(B190="",I190=""),"",IFERROR(IF(AND(B190&gt;=_xlfn.XLOOKUP(I190,Chantiers_Zones!$B$2:$B$101,Chantiers_Zones!$F$2:$F$101),B190&lt;=_xlfn.XLOOKUP(I190,Chantiers_Zones!$B$2:$B$101,Chantiers_Zones!$G$2:$G$101)),"OK","HORS PÉRIODE"),"CHANTIER INCONNU"))</f>
        <v/>
      </c>
      <c r="T190" s="9">
        <f>IF(COUNTA(A190:D190,F190,I190,K190:O190)=0,"",IF(M190="Annulée","OK",IF(OR(A190="",B190="",C190="",D190="",F190="",I190="",K190="",L190="",M190=""),"INCOMPLET",IF(D190&lt;=C190,"HORAIRES INVALIDES",IF(OR(C190&lt;Paramètres!$B$3,D190&gt;Paramètres!$B$4),"HORS PLAGE",IF(P190&lt;&gt;"OK",P190,IF(Q190&lt;&gt;"OK",Q190,IF(R190&lt;&gt;"OK",R190,IF(S190&lt;&gt;"OK",S190,"OK")))))))))</f>
        <v/>
      </c>
    </row>
    <row r="191">
      <c r="A191" s="12" t="n"/>
      <c r="B191" s="24" t="n"/>
      <c r="C191" s="25" t="n"/>
      <c r="D191" s="25" t="n"/>
      <c r="E191" s="15">
        <f>IF(OR(C191="",D191=""),"",IF(D191&gt;C191,(D191-C191)*24,""))</f>
        <v/>
      </c>
      <c r="F191" s="12" t="n"/>
      <c r="G191" s="16">
        <f>IF(F191="","",IFERROR(_xlfn.XLOOKUP(F191,Intervenants!$A$2:$A$101,Intervenants!$B$2:$B$101),"ID inconnu"))</f>
        <v/>
      </c>
      <c r="H191" s="16">
        <f>IF(F191="","",IFERROR(_xlfn.XLOOKUP(F191,Intervenants!$A$2:$A$101,Intervenants!$C$2:$C$101),"ID inconnu"))</f>
        <v/>
      </c>
      <c r="I191" s="12" t="n"/>
      <c r="J191" s="16">
        <f>IF(I191="","",IFERROR(_xlfn.XLOOKUP(I191,Chantiers_Zones!$B$2:$B$101,Chantiers_Zones!$C$2:$C$101),"CHANTIER INCONNU"))</f>
        <v/>
      </c>
      <c r="K191" s="12" t="n"/>
      <c r="L191" s="12" t="n"/>
      <c r="M191" s="8" t="n"/>
      <c r="N191" s="8" t="n"/>
      <c r="O191" s="17" t="n"/>
      <c r="P191" s="9">
        <f>IF(M191="Annulée","OK",IF(OR(B191="",C191="",D191="",F191=""),"",IF(COUNTIFS($F$7:$F$206,F191,$B$7:$B$206,B191,$C$7:$C$206,"&lt;"&amp;D191,$D$7:$D$206,"&gt;"&amp;C191,$M$7:$M$206,"&lt;&gt;Annulée")&gt;1,"DOUBLE RÉSERVATION","OK")))</f>
        <v/>
      </c>
      <c r="Q191" s="9">
        <f>IF(M191="Annulée","OK",IF(OR(B191="",C191="",D191="",F191=""),"",IF(SUMPRODUCT((Indisponibilités!$A$2:$A$101=F191)*((Indisponibilités!$B$2:$B$101+Indisponibilités!$C$2:$C$101)&lt;(B191+D191))*((Indisponibilités!$D$2:$D$101+Indisponibilités!$E$2:$E$101)&gt;(B191+C191)))&gt;0,"INDISPONIBLE","OK")))</f>
        <v/>
      </c>
      <c r="R191" s="9">
        <f>IF(OR(I191="",K191=""),"",IF(COUNTIFS(Chantiers_Zones!$B$2:$B$101,I191,Chantiers_Zones!$D$2:$D$101,K191,Chantiers_Zones!$E$2:$E$101,"Oui")&gt;0,"OK","ZONE INVALIDE"))</f>
        <v/>
      </c>
      <c r="S191" s="9">
        <f>IF(OR(B191="",I191=""),"",IFERROR(IF(AND(B191&gt;=_xlfn.XLOOKUP(I191,Chantiers_Zones!$B$2:$B$101,Chantiers_Zones!$F$2:$F$101),B191&lt;=_xlfn.XLOOKUP(I191,Chantiers_Zones!$B$2:$B$101,Chantiers_Zones!$G$2:$G$101)),"OK","HORS PÉRIODE"),"CHANTIER INCONNU"))</f>
        <v/>
      </c>
      <c r="T191" s="9">
        <f>IF(COUNTA(A191:D191,F191,I191,K191:O191)=0,"",IF(M191="Annulée","OK",IF(OR(A191="",B191="",C191="",D191="",F191="",I191="",K191="",L191="",M191=""),"INCOMPLET",IF(D191&lt;=C191,"HORAIRES INVALIDES",IF(OR(C191&lt;Paramètres!$B$3,D191&gt;Paramètres!$B$4),"HORS PLAGE",IF(P191&lt;&gt;"OK",P191,IF(Q191&lt;&gt;"OK",Q191,IF(R191&lt;&gt;"OK",R191,IF(S191&lt;&gt;"OK",S191,"OK")))))))))</f>
        <v/>
      </c>
    </row>
    <row r="192">
      <c r="A192" s="12" t="n"/>
      <c r="B192" s="24" t="n"/>
      <c r="C192" s="25" t="n"/>
      <c r="D192" s="25" t="n"/>
      <c r="E192" s="15">
        <f>IF(OR(C192="",D192=""),"",IF(D192&gt;C192,(D192-C192)*24,""))</f>
        <v/>
      </c>
      <c r="F192" s="12" t="n"/>
      <c r="G192" s="16">
        <f>IF(F192="","",IFERROR(_xlfn.XLOOKUP(F192,Intervenants!$A$2:$A$101,Intervenants!$B$2:$B$101),"ID inconnu"))</f>
        <v/>
      </c>
      <c r="H192" s="16">
        <f>IF(F192="","",IFERROR(_xlfn.XLOOKUP(F192,Intervenants!$A$2:$A$101,Intervenants!$C$2:$C$101),"ID inconnu"))</f>
        <v/>
      </c>
      <c r="I192" s="12" t="n"/>
      <c r="J192" s="16">
        <f>IF(I192="","",IFERROR(_xlfn.XLOOKUP(I192,Chantiers_Zones!$B$2:$B$101,Chantiers_Zones!$C$2:$C$101),"CHANTIER INCONNU"))</f>
        <v/>
      </c>
      <c r="K192" s="12" t="n"/>
      <c r="L192" s="12" t="n"/>
      <c r="M192" s="8" t="n"/>
      <c r="N192" s="8" t="n"/>
      <c r="O192" s="17" t="n"/>
      <c r="P192" s="9">
        <f>IF(M192="Annulée","OK",IF(OR(B192="",C192="",D192="",F192=""),"",IF(COUNTIFS($F$7:$F$206,F192,$B$7:$B$206,B192,$C$7:$C$206,"&lt;"&amp;D192,$D$7:$D$206,"&gt;"&amp;C192,$M$7:$M$206,"&lt;&gt;Annulée")&gt;1,"DOUBLE RÉSERVATION","OK")))</f>
        <v/>
      </c>
      <c r="Q192" s="9">
        <f>IF(M192="Annulée","OK",IF(OR(B192="",C192="",D192="",F192=""),"",IF(SUMPRODUCT((Indisponibilités!$A$2:$A$101=F192)*((Indisponibilités!$B$2:$B$101+Indisponibilités!$C$2:$C$101)&lt;(B192+D192))*((Indisponibilités!$D$2:$D$101+Indisponibilités!$E$2:$E$101)&gt;(B192+C192)))&gt;0,"INDISPONIBLE","OK")))</f>
        <v/>
      </c>
      <c r="R192" s="9">
        <f>IF(OR(I192="",K192=""),"",IF(COUNTIFS(Chantiers_Zones!$B$2:$B$101,I192,Chantiers_Zones!$D$2:$D$101,K192,Chantiers_Zones!$E$2:$E$101,"Oui")&gt;0,"OK","ZONE INVALIDE"))</f>
        <v/>
      </c>
      <c r="S192" s="9">
        <f>IF(OR(B192="",I192=""),"",IFERROR(IF(AND(B192&gt;=_xlfn.XLOOKUP(I192,Chantiers_Zones!$B$2:$B$101,Chantiers_Zones!$F$2:$F$101),B192&lt;=_xlfn.XLOOKUP(I192,Chantiers_Zones!$B$2:$B$101,Chantiers_Zones!$G$2:$G$101)),"OK","HORS PÉRIODE"),"CHANTIER INCONNU"))</f>
        <v/>
      </c>
      <c r="T192" s="9">
        <f>IF(COUNTA(A192:D192,F192,I192,K192:O192)=0,"",IF(M192="Annulée","OK",IF(OR(A192="",B192="",C192="",D192="",F192="",I192="",K192="",L192="",M192=""),"INCOMPLET",IF(D192&lt;=C192,"HORAIRES INVALIDES",IF(OR(C192&lt;Paramètres!$B$3,D192&gt;Paramètres!$B$4),"HORS PLAGE",IF(P192&lt;&gt;"OK",P192,IF(Q192&lt;&gt;"OK",Q192,IF(R192&lt;&gt;"OK",R192,IF(S192&lt;&gt;"OK",S192,"OK")))))))))</f>
        <v/>
      </c>
    </row>
    <row r="193">
      <c r="A193" s="12" t="n"/>
      <c r="B193" s="24" t="n"/>
      <c r="C193" s="25" t="n"/>
      <c r="D193" s="25" t="n"/>
      <c r="E193" s="15">
        <f>IF(OR(C193="",D193=""),"",IF(D193&gt;C193,(D193-C193)*24,""))</f>
        <v/>
      </c>
      <c r="F193" s="12" t="n"/>
      <c r="G193" s="16">
        <f>IF(F193="","",IFERROR(_xlfn.XLOOKUP(F193,Intervenants!$A$2:$A$101,Intervenants!$B$2:$B$101),"ID inconnu"))</f>
        <v/>
      </c>
      <c r="H193" s="16">
        <f>IF(F193="","",IFERROR(_xlfn.XLOOKUP(F193,Intervenants!$A$2:$A$101,Intervenants!$C$2:$C$101),"ID inconnu"))</f>
        <v/>
      </c>
      <c r="I193" s="12" t="n"/>
      <c r="J193" s="16">
        <f>IF(I193="","",IFERROR(_xlfn.XLOOKUP(I193,Chantiers_Zones!$B$2:$B$101,Chantiers_Zones!$C$2:$C$101),"CHANTIER INCONNU"))</f>
        <v/>
      </c>
      <c r="K193" s="12" t="n"/>
      <c r="L193" s="12" t="n"/>
      <c r="M193" s="8" t="n"/>
      <c r="N193" s="8" t="n"/>
      <c r="O193" s="17" t="n"/>
      <c r="P193" s="9">
        <f>IF(M193="Annulée","OK",IF(OR(B193="",C193="",D193="",F193=""),"",IF(COUNTIFS($F$7:$F$206,F193,$B$7:$B$206,B193,$C$7:$C$206,"&lt;"&amp;D193,$D$7:$D$206,"&gt;"&amp;C193,$M$7:$M$206,"&lt;&gt;Annulée")&gt;1,"DOUBLE RÉSERVATION","OK")))</f>
        <v/>
      </c>
      <c r="Q193" s="9">
        <f>IF(M193="Annulée","OK",IF(OR(B193="",C193="",D193="",F193=""),"",IF(SUMPRODUCT((Indisponibilités!$A$2:$A$101=F193)*((Indisponibilités!$B$2:$B$101+Indisponibilités!$C$2:$C$101)&lt;(B193+D193))*((Indisponibilités!$D$2:$D$101+Indisponibilités!$E$2:$E$101)&gt;(B193+C193)))&gt;0,"INDISPONIBLE","OK")))</f>
        <v/>
      </c>
      <c r="R193" s="9">
        <f>IF(OR(I193="",K193=""),"",IF(COUNTIFS(Chantiers_Zones!$B$2:$B$101,I193,Chantiers_Zones!$D$2:$D$101,K193,Chantiers_Zones!$E$2:$E$101,"Oui")&gt;0,"OK","ZONE INVALIDE"))</f>
        <v/>
      </c>
      <c r="S193" s="9">
        <f>IF(OR(B193="",I193=""),"",IFERROR(IF(AND(B193&gt;=_xlfn.XLOOKUP(I193,Chantiers_Zones!$B$2:$B$101,Chantiers_Zones!$F$2:$F$101),B193&lt;=_xlfn.XLOOKUP(I193,Chantiers_Zones!$B$2:$B$101,Chantiers_Zones!$G$2:$G$101)),"OK","HORS PÉRIODE"),"CHANTIER INCONNU"))</f>
        <v/>
      </c>
      <c r="T193" s="9">
        <f>IF(COUNTA(A193:D193,F193,I193,K193:O193)=0,"",IF(M193="Annulée","OK",IF(OR(A193="",B193="",C193="",D193="",F193="",I193="",K193="",L193="",M193=""),"INCOMPLET",IF(D193&lt;=C193,"HORAIRES INVALIDES",IF(OR(C193&lt;Paramètres!$B$3,D193&gt;Paramètres!$B$4),"HORS PLAGE",IF(P193&lt;&gt;"OK",P193,IF(Q193&lt;&gt;"OK",Q193,IF(R193&lt;&gt;"OK",R193,IF(S193&lt;&gt;"OK",S193,"OK")))))))))</f>
        <v/>
      </c>
    </row>
    <row r="194">
      <c r="A194" s="12" t="n"/>
      <c r="B194" s="24" t="n"/>
      <c r="C194" s="25" t="n"/>
      <c r="D194" s="25" t="n"/>
      <c r="E194" s="15">
        <f>IF(OR(C194="",D194=""),"",IF(D194&gt;C194,(D194-C194)*24,""))</f>
        <v/>
      </c>
      <c r="F194" s="12" t="n"/>
      <c r="G194" s="16">
        <f>IF(F194="","",IFERROR(_xlfn.XLOOKUP(F194,Intervenants!$A$2:$A$101,Intervenants!$B$2:$B$101),"ID inconnu"))</f>
        <v/>
      </c>
      <c r="H194" s="16">
        <f>IF(F194="","",IFERROR(_xlfn.XLOOKUP(F194,Intervenants!$A$2:$A$101,Intervenants!$C$2:$C$101),"ID inconnu"))</f>
        <v/>
      </c>
      <c r="I194" s="12" t="n"/>
      <c r="J194" s="16">
        <f>IF(I194="","",IFERROR(_xlfn.XLOOKUP(I194,Chantiers_Zones!$B$2:$B$101,Chantiers_Zones!$C$2:$C$101),"CHANTIER INCONNU"))</f>
        <v/>
      </c>
      <c r="K194" s="12" t="n"/>
      <c r="L194" s="12" t="n"/>
      <c r="M194" s="8" t="n"/>
      <c r="N194" s="8" t="n"/>
      <c r="O194" s="17" t="n"/>
      <c r="P194" s="9">
        <f>IF(M194="Annulée","OK",IF(OR(B194="",C194="",D194="",F194=""),"",IF(COUNTIFS($F$7:$F$206,F194,$B$7:$B$206,B194,$C$7:$C$206,"&lt;"&amp;D194,$D$7:$D$206,"&gt;"&amp;C194,$M$7:$M$206,"&lt;&gt;Annulée")&gt;1,"DOUBLE RÉSERVATION","OK")))</f>
        <v/>
      </c>
      <c r="Q194" s="9">
        <f>IF(M194="Annulée","OK",IF(OR(B194="",C194="",D194="",F194=""),"",IF(SUMPRODUCT((Indisponibilités!$A$2:$A$101=F194)*((Indisponibilités!$B$2:$B$101+Indisponibilités!$C$2:$C$101)&lt;(B194+D194))*((Indisponibilités!$D$2:$D$101+Indisponibilités!$E$2:$E$101)&gt;(B194+C194)))&gt;0,"INDISPONIBLE","OK")))</f>
        <v/>
      </c>
      <c r="R194" s="9">
        <f>IF(OR(I194="",K194=""),"",IF(COUNTIFS(Chantiers_Zones!$B$2:$B$101,I194,Chantiers_Zones!$D$2:$D$101,K194,Chantiers_Zones!$E$2:$E$101,"Oui")&gt;0,"OK","ZONE INVALIDE"))</f>
        <v/>
      </c>
      <c r="S194" s="9">
        <f>IF(OR(B194="",I194=""),"",IFERROR(IF(AND(B194&gt;=_xlfn.XLOOKUP(I194,Chantiers_Zones!$B$2:$B$101,Chantiers_Zones!$F$2:$F$101),B194&lt;=_xlfn.XLOOKUP(I194,Chantiers_Zones!$B$2:$B$101,Chantiers_Zones!$G$2:$G$101)),"OK","HORS PÉRIODE"),"CHANTIER INCONNU"))</f>
        <v/>
      </c>
      <c r="T194" s="9">
        <f>IF(COUNTA(A194:D194,F194,I194,K194:O194)=0,"",IF(M194="Annulée","OK",IF(OR(A194="",B194="",C194="",D194="",F194="",I194="",K194="",L194="",M194=""),"INCOMPLET",IF(D194&lt;=C194,"HORAIRES INVALIDES",IF(OR(C194&lt;Paramètres!$B$3,D194&gt;Paramètres!$B$4),"HORS PLAGE",IF(P194&lt;&gt;"OK",P194,IF(Q194&lt;&gt;"OK",Q194,IF(R194&lt;&gt;"OK",R194,IF(S194&lt;&gt;"OK",S194,"OK")))))))))</f>
        <v/>
      </c>
    </row>
    <row r="195">
      <c r="A195" s="12" t="n"/>
      <c r="B195" s="24" t="n"/>
      <c r="C195" s="25" t="n"/>
      <c r="D195" s="25" t="n"/>
      <c r="E195" s="15">
        <f>IF(OR(C195="",D195=""),"",IF(D195&gt;C195,(D195-C195)*24,""))</f>
        <v/>
      </c>
      <c r="F195" s="12" t="n"/>
      <c r="G195" s="16">
        <f>IF(F195="","",IFERROR(_xlfn.XLOOKUP(F195,Intervenants!$A$2:$A$101,Intervenants!$B$2:$B$101),"ID inconnu"))</f>
        <v/>
      </c>
      <c r="H195" s="16">
        <f>IF(F195="","",IFERROR(_xlfn.XLOOKUP(F195,Intervenants!$A$2:$A$101,Intervenants!$C$2:$C$101),"ID inconnu"))</f>
        <v/>
      </c>
      <c r="I195" s="12" t="n"/>
      <c r="J195" s="16">
        <f>IF(I195="","",IFERROR(_xlfn.XLOOKUP(I195,Chantiers_Zones!$B$2:$B$101,Chantiers_Zones!$C$2:$C$101),"CHANTIER INCONNU"))</f>
        <v/>
      </c>
      <c r="K195" s="12" t="n"/>
      <c r="L195" s="12" t="n"/>
      <c r="M195" s="8" t="n"/>
      <c r="N195" s="8" t="n"/>
      <c r="O195" s="17" t="n"/>
      <c r="P195" s="9">
        <f>IF(M195="Annulée","OK",IF(OR(B195="",C195="",D195="",F195=""),"",IF(COUNTIFS($F$7:$F$206,F195,$B$7:$B$206,B195,$C$7:$C$206,"&lt;"&amp;D195,$D$7:$D$206,"&gt;"&amp;C195,$M$7:$M$206,"&lt;&gt;Annulée")&gt;1,"DOUBLE RÉSERVATION","OK")))</f>
        <v/>
      </c>
      <c r="Q195" s="9">
        <f>IF(M195="Annulée","OK",IF(OR(B195="",C195="",D195="",F195=""),"",IF(SUMPRODUCT((Indisponibilités!$A$2:$A$101=F195)*((Indisponibilités!$B$2:$B$101+Indisponibilités!$C$2:$C$101)&lt;(B195+D195))*((Indisponibilités!$D$2:$D$101+Indisponibilités!$E$2:$E$101)&gt;(B195+C195)))&gt;0,"INDISPONIBLE","OK")))</f>
        <v/>
      </c>
      <c r="R195" s="9">
        <f>IF(OR(I195="",K195=""),"",IF(COUNTIFS(Chantiers_Zones!$B$2:$B$101,I195,Chantiers_Zones!$D$2:$D$101,K195,Chantiers_Zones!$E$2:$E$101,"Oui")&gt;0,"OK","ZONE INVALIDE"))</f>
        <v/>
      </c>
      <c r="S195" s="9">
        <f>IF(OR(B195="",I195=""),"",IFERROR(IF(AND(B195&gt;=_xlfn.XLOOKUP(I195,Chantiers_Zones!$B$2:$B$101,Chantiers_Zones!$F$2:$F$101),B195&lt;=_xlfn.XLOOKUP(I195,Chantiers_Zones!$B$2:$B$101,Chantiers_Zones!$G$2:$G$101)),"OK","HORS PÉRIODE"),"CHANTIER INCONNU"))</f>
        <v/>
      </c>
      <c r="T195" s="9">
        <f>IF(COUNTA(A195:D195,F195,I195,K195:O195)=0,"",IF(M195="Annulée","OK",IF(OR(A195="",B195="",C195="",D195="",F195="",I195="",K195="",L195="",M195=""),"INCOMPLET",IF(D195&lt;=C195,"HORAIRES INVALIDES",IF(OR(C195&lt;Paramètres!$B$3,D195&gt;Paramètres!$B$4),"HORS PLAGE",IF(P195&lt;&gt;"OK",P195,IF(Q195&lt;&gt;"OK",Q195,IF(R195&lt;&gt;"OK",R195,IF(S195&lt;&gt;"OK",S195,"OK")))))))))</f>
        <v/>
      </c>
    </row>
    <row r="196">
      <c r="A196" s="12" t="n"/>
      <c r="B196" s="24" t="n"/>
      <c r="C196" s="25" t="n"/>
      <c r="D196" s="25" t="n"/>
      <c r="E196" s="15">
        <f>IF(OR(C196="",D196=""),"",IF(D196&gt;C196,(D196-C196)*24,""))</f>
        <v/>
      </c>
      <c r="F196" s="12" t="n"/>
      <c r="G196" s="16">
        <f>IF(F196="","",IFERROR(_xlfn.XLOOKUP(F196,Intervenants!$A$2:$A$101,Intervenants!$B$2:$B$101),"ID inconnu"))</f>
        <v/>
      </c>
      <c r="H196" s="16">
        <f>IF(F196="","",IFERROR(_xlfn.XLOOKUP(F196,Intervenants!$A$2:$A$101,Intervenants!$C$2:$C$101),"ID inconnu"))</f>
        <v/>
      </c>
      <c r="I196" s="12" t="n"/>
      <c r="J196" s="16">
        <f>IF(I196="","",IFERROR(_xlfn.XLOOKUP(I196,Chantiers_Zones!$B$2:$B$101,Chantiers_Zones!$C$2:$C$101),"CHANTIER INCONNU"))</f>
        <v/>
      </c>
      <c r="K196" s="12" t="n"/>
      <c r="L196" s="12" t="n"/>
      <c r="M196" s="8" t="n"/>
      <c r="N196" s="8" t="n"/>
      <c r="O196" s="17" t="n"/>
      <c r="P196" s="9">
        <f>IF(M196="Annulée","OK",IF(OR(B196="",C196="",D196="",F196=""),"",IF(COUNTIFS($F$7:$F$206,F196,$B$7:$B$206,B196,$C$7:$C$206,"&lt;"&amp;D196,$D$7:$D$206,"&gt;"&amp;C196,$M$7:$M$206,"&lt;&gt;Annulée")&gt;1,"DOUBLE RÉSERVATION","OK")))</f>
        <v/>
      </c>
      <c r="Q196" s="9">
        <f>IF(M196="Annulée","OK",IF(OR(B196="",C196="",D196="",F196=""),"",IF(SUMPRODUCT((Indisponibilités!$A$2:$A$101=F196)*((Indisponibilités!$B$2:$B$101+Indisponibilités!$C$2:$C$101)&lt;(B196+D196))*((Indisponibilités!$D$2:$D$101+Indisponibilités!$E$2:$E$101)&gt;(B196+C196)))&gt;0,"INDISPONIBLE","OK")))</f>
        <v/>
      </c>
      <c r="R196" s="9">
        <f>IF(OR(I196="",K196=""),"",IF(COUNTIFS(Chantiers_Zones!$B$2:$B$101,I196,Chantiers_Zones!$D$2:$D$101,K196,Chantiers_Zones!$E$2:$E$101,"Oui")&gt;0,"OK","ZONE INVALIDE"))</f>
        <v/>
      </c>
      <c r="S196" s="9">
        <f>IF(OR(B196="",I196=""),"",IFERROR(IF(AND(B196&gt;=_xlfn.XLOOKUP(I196,Chantiers_Zones!$B$2:$B$101,Chantiers_Zones!$F$2:$F$101),B196&lt;=_xlfn.XLOOKUP(I196,Chantiers_Zones!$B$2:$B$101,Chantiers_Zones!$G$2:$G$101)),"OK","HORS PÉRIODE"),"CHANTIER INCONNU"))</f>
        <v/>
      </c>
      <c r="T196" s="9">
        <f>IF(COUNTA(A196:D196,F196,I196,K196:O196)=0,"",IF(M196="Annulée","OK",IF(OR(A196="",B196="",C196="",D196="",F196="",I196="",K196="",L196="",M196=""),"INCOMPLET",IF(D196&lt;=C196,"HORAIRES INVALIDES",IF(OR(C196&lt;Paramètres!$B$3,D196&gt;Paramètres!$B$4),"HORS PLAGE",IF(P196&lt;&gt;"OK",P196,IF(Q196&lt;&gt;"OK",Q196,IF(R196&lt;&gt;"OK",R196,IF(S196&lt;&gt;"OK",S196,"OK")))))))))</f>
        <v/>
      </c>
    </row>
    <row r="197">
      <c r="A197" s="12" t="n"/>
      <c r="B197" s="24" t="n"/>
      <c r="C197" s="25" t="n"/>
      <c r="D197" s="25" t="n"/>
      <c r="E197" s="15">
        <f>IF(OR(C197="",D197=""),"",IF(D197&gt;C197,(D197-C197)*24,""))</f>
        <v/>
      </c>
      <c r="F197" s="12" t="n"/>
      <c r="G197" s="16">
        <f>IF(F197="","",IFERROR(_xlfn.XLOOKUP(F197,Intervenants!$A$2:$A$101,Intervenants!$B$2:$B$101),"ID inconnu"))</f>
        <v/>
      </c>
      <c r="H197" s="16">
        <f>IF(F197="","",IFERROR(_xlfn.XLOOKUP(F197,Intervenants!$A$2:$A$101,Intervenants!$C$2:$C$101),"ID inconnu"))</f>
        <v/>
      </c>
      <c r="I197" s="12" t="n"/>
      <c r="J197" s="16">
        <f>IF(I197="","",IFERROR(_xlfn.XLOOKUP(I197,Chantiers_Zones!$B$2:$B$101,Chantiers_Zones!$C$2:$C$101),"CHANTIER INCONNU"))</f>
        <v/>
      </c>
      <c r="K197" s="12" t="n"/>
      <c r="L197" s="12" t="n"/>
      <c r="M197" s="8" t="n"/>
      <c r="N197" s="8" t="n"/>
      <c r="O197" s="17" t="n"/>
      <c r="P197" s="9">
        <f>IF(M197="Annulée","OK",IF(OR(B197="",C197="",D197="",F197=""),"",IF(COUNTIFS($F$7:$F$206,F197,$B$7:$B$206,B197,$C$7:$C$206,"&lt;"&amp;D197,$D$7:$D$206,"&gt;"&amp;C197,$M$7:$M$206,"&lt;&gt;Annulée")&gt;1,"DOUBLE RÉSERVATION","OK")))</f>
        <v/>
      </c>
      <c r="Q197" s="9">
        <f>IF(M197="Annulée","OK",IF(OR(B197="",C197="",D197="",F197=""),"",IF(SUMPRODUCT((Indisponibilités!$A$2:$A$101=F197)*((Indisponibilités!$B$2:$B$101+Indisponibilités!$C$2:$C$101)&lt;(B197+D197))*((Indisponibilités!$D$2:$D$101+Indisponibilités!$E$2:$E$101)&gt;(B197+C197)))&gt;0,"INDISPONIBLE","OK")))</f>
        <v/>
      </c>
      <c r="R197" s="9">
        <f>IF(OR(I197="",K197=""),"",IF(COUNTIFS(Chantiers_Zones!$B$2:$B$101,I197,Chantiers_Zones!$D$2:$D$101,K197,Chantiers_Zones!$E$2:$E$101,"Oui")&gt;0,"OK","ZONE INVALIDE"))</f>
        <v/>
      </c>
      <c r="S197" s="9">
        <f>IF(OR(B197="",I197=""),"",IFERROR(IF(AND(B197&gt;=_xlfn.XLOOKUP(I197,Chantiers_Zones!$B$2:$B$101,Chantiers_Zones!$F$2:$F$101),B197&lt;=_xlfn.XLOOKUP(I197,Chantiers_Zones!$B$2:$B$101,Chantiers_Zones!$G$2:$G$101)),"OK","HORS PÉRIODE"),"CHANTIER INCONNU"))</f>
        <v/>
      </c>
      <c r="T197" s="9">
        <f>IF(COUNTA(A197:D197,F197,I197,K197:O197)=0,"",IF(M197="Annulée","OK",IF(OR(A197="",B197="",C197="",D197="",F197="",I197="",K197="",L197="",M197=""),"INCOMPLET",IF(D197&lt;=C197,"HORAIRES INVALIDES",IF(OR(C197&lt;Paramètres!$B$3,D197&gt;Paramètres!$B$4),"HORS PLAGE",IF(P197&lt;&gt;"OK",P197,IF(Q197&lt;&gt;"OK",Q197,IF(R197&lt;&gt;"OK",R197,IF(S197&lt;&gt;"OK",S197,"OK")))))))))</f>
        <v/>
      </c>
    </row>
    <row r="198">
      <c r="A198" s="12" t="n"/>
      <c r="B198" s="24" t="n"/>
      <c r="C198" s="25" t="n"/>
      <c r="D198" s="25" t="n"/>
      <c r="E198" s="15">
        <f>IF(OR(C198="",D198=""),"",IF(D198&gt;C198,(D198-C198)*24,""))</f>
        <v/>
      </c>
      <c r="F198" s="12" t="n"/>
      <c r="G198" s="16">
        <f>IF(F198="","",IFERROR(_xlfn.XLOOKUP(F198,Intervenants!$A$2:$A$101,Intervenants!$B$2:$B$101),"ID inconnu"))</f>
        <v/>
      </c>
      <c r="H198" s="16">
        <f>IF(F198="","",IFERROR(_xlfn.XLOOKUP(F198,Intervenants!$A$2:$A$101,Intervenants!$C$2:$C$101),"ID inconnu"))</f>
        <v/>
      </c>
      <c r="I198" s="12" t="n"/>
      <c r="J198" s="16">
        <f>IF(I198="","",IFERROR(_xlfn.XLOOKUP(I198,Chantiers_Zones!$B$2:$B$101,Chantiers_Zones!$C$2:$C$101),"CHANTIER INCONNU"))</f>
        <v/>
      </c>
      <c r="K198" s="12" t="n"/>
      <c r="L198" s="12" t="n"/>
      <c r="M198" s="8" t="n"/>
      <c r="N198" s="8" t="n"/>
      <c r="O198" s="17" t="n"/>
      <c r="P198" s="9">
        <f>IF(M198="Annulée","OK",IF(OR(B198="",C198="",D198="",F198=""),"",IF(COUNTIFS($F$7:$F$206,F198,$B$7:$B$206,B198,$C$7:$C$206,"&lt;"&amp;D198,$D$7:$D$206,"&gt;"&amp;C198,$M$7:$M$206,"&lt;&gt;Annulée")&gt;1,"DOUBLE RÉSERVATION","OK")))</f>
        <v/>
      </c>
      <c r="Q198" s="9">
        <f>IF(M198="Annulée","OK",IF(OR(B198="",C198="",D198="",F198=""),"",IF(SUMPRODUCT((Indisponibilités!$A$2:$A$101=F198)*((Indisponibilités!$B$2:$B$101+Indisponibilités!$C$2:$C$101)&lt;(B198+D198))*((Indisponibilités!$D$2:$D$101+Indisponibilités!$E$2:$E$101)&gt;(B198+C198)))&gt;0,"INDISPONIBLE","OK")))</f>
        <v/>
      </c>
      <c r="R198" s="9">
        <f>IF(OR(I198="",K198=""),"",IF(COUNTIFS(Chantiers_Zones!$B$2:$B$101,I198,Chantiers_Zones!$D$2:$D$101,K198,Chantiers_Zones!$E$2:$E$101,"Oui")&gt;0,"OK","ZONE INVALIDE"))</f>
        <v/>
      </c>
      <c r="S198" s="9">
        <f>IF(OR(B198="",I198=""),"",IFERROR(IF(AND(B198&gt;=_xlfn.XLOOKUP(I198,Chantiers_Zones!$B$2:$B$101,Chantiers_Zones!$F$2:$F$101),B198&lt;=_xlfn.XLOOKUP(I198,Chantiers_Zones!$B$2:$B$101,Chantiers_Zones!$G$2:$G$101)),"OK","HORS PÉRIODE"),"CHANTIER INCONNU"))</f>
        <v/>
      </c>
      <c r="T198" s="9">
        <f>IF(COUNTA(A198:D198,F198,I198,K198:O198)=0,"",IF(M198="Annulée","OK",IF(OR(A198="",B198="",C198="",D198="",F198="",I198="",K198="",L198="",M198=""),"INCOMPLET",IF(D198&lt;=C198,"HORAIRES INVALIDES",IF(OR(C198&lt;Paramètres!$B$3,D198&gt;Paramètres!$B$4),"HORS PLAGE",IF(P198&lt;&gt;"OK",P198,IF(Q198&lt;&gt;"OK",Q198,IF(R198&lt;&gt;"OK",R198,IF(S198&lt;&gt;"OK",S198,"OK")))))))))</f>
        <v/>
      </c>
    </row>
    <row r="199">
      <c r="A199" s="12" t="n"/>
      <c r="B199" s="24" t="n"/>
      <c r="C199" s="25" t="n"/>
      <c r="D199" s="25" t="n"/>
      <c r="E199" s="15">
        <f>IF(OR(C199="",D199=""),"",IF(D199&gt;C199,(D199-C199)*24,""))</f>
        <v/>
      </c>
      <c r="F199" s="12" t="n"/>
      <c r="G199" s="16">
        <f>IF(F199="","",IFERROR(_xlfn.XLOOKUP(F199,Intervenants!$A$2:$A$101,Intervenants!$B$2:$B$101),"ID inconnu"))</f>
        <v/>
      </c>
      <c r="H199" s="16">
        <f>IF(F199="","",IFERROR(_xlfn.XLOOKUP(F199,Intervenants!$A$2:$A$101,Intervenants!$C$2:$C$101),"ID inconnu"))</f>
        <v/>
      </c>
      <c r="I199" s="12" t="n"/>
      <c r="J199" s="16">
        <f>IF(I199="","",IFERROR(_xlfn.XLOOKUP(I199,Chantiers_Zones!$B$2:$B$101,Chantiers_Zones!$C$2:$C$101),"CHANTIER INCONNU"))</f>
        <v/>
      </c>
      <c r="K199" s="12" t="n"/>
      <c r="L199" s="12" t="n"/>
      <c r="M199" s="8" t="n"/>
      <c r="N199" s="8" t="n"/>
      <c r="O199" s="17" t="n"/>
      <c r="P199" s="9">
        <f>IF(M199="Annulée","OK",IF(OR(B199="",C199="",D199="",F199=""),"",IF(COUNTIFS($F$7:$F$206,F199,$B$7:$B$206,B199,$C$7:$C$206,"&lt;"&amp;D199,$D$7:$D$206,"&gt;"&amp;C199,$M$7:$M$206,"&lt;&gt;Annulée")&gt;1,"DOUBLE RÉSERVATION","OK")))</f>
        <v/>
      </c>
      <c r="Q199" s="9">
        <f>IF(M199="Annulée","OK",IF(OR(B199="",C199="",D199="",F199=""),"",IF(SUMPRODUCT((Indisponibilités!$A$2:$A$101=F199)*((Indisponibilités!$B$2:$B$101+Indisponibilités!$C$2:$C$101)&lt;(B199+D199))*((Indisponibilités!$D$2:$D$101+Indisponibilités!$E$2:$E$101)&gt;(B199+C199)))&gt;0,"INDISPONIBLE","OK")))</f>
        <v/>
      </c>
      <c r="R199" s="9">
        <f>IF(OR(I199="",K199=""),"",IF(COUNTIFS(Chantiers_Zones!$B$2:$B$101,I199,Chantiers_Zones!$D$2:$D$101,K199,Chantiers_Zones!$E$2:$E$101,"Oui")&gt;0,"OK","ZONE INVALIDE"))</f>
        <v/>
      </c>
      <c r="S199" s="9">
        <f>IF(OR(B199="",I199=""),"",IFERROR(IF(AND(B199&gt;=_xlfn.XLOOKUP(I199,Chantiers_Zones!$B$2:$B$101,Chantiers_Zones!$F$2:$F$101),B199&lt;=_xlfn.XLOOKUP(I199,Chantiers_Zones!$B$2:$B$101,Chantiers_Zones!$G$2:$G$101)),"OK","HORS PÉRIODE"),"CHANTIER INCONNU"))</f>
        <v/>
      </c>
      <c r="T199" s="9">
        <f>IF(COUNTA(A199:D199,F199,I199,K199:O199)=0,"",IF(M199="Annulée","OK",IF(OR(A199="",B199="",C199="",D199="",F199="",I199="",K199="",L199="",M199=""),"INCOMPLET",IF(D199&lt;=C199,"HORAIRES INVALIDES",IF(OR(C199&lt;Paramètres!$B$3,D199&gt;Paramètres!$B$4),"HORS PLAGE",IF(P199&lt;&gt;"OK",P199,IF(Q199&lt;&gt;"OK",Q199,IF(R199&lt;&gt;"OK",R199,IF(S199&lt;&gt;"OK",S199,"OK")))))))))</f>
        <v/>
      </c>
    </row>
    <row r="200">
      <c r="A200" s="12" t="n"/>
      <c r="B200" s="24" t="n"/>
      <c r="C200" s="25" t="n"/>
      <c r="D200" s="25" t="n"/>
      <c r="E200" s="15">
        <f>IF(OR(C200="",D200=""),"",IF(D200&gt;C200,(D200-C200)*24,""))</f>
        <v/>
      </c>
      <c r="F200" s="12" t="n"/>
      <c r="G200" s="16">
        <f>IF(F200="","",IFERROR(_xlfn.XLOOKUP(F200,Intervenants!$A$2:$A$101,Intervenants!$B$2:$B$101),"ID inconnu"))</f>
        <v/>
      </c>
      <c r="H200" s="16">
        <f>IF(F200="","",IFERROR(_xlfn.XLOOKUP(F200,Intervenants!$A$2:$A$101,Intervenants!$C$2:$C$101),"ID inconnu"))</f>
        <v/>
      </c>
      <c r="I200" s="12" t="n"/>
      <c r="J200" s="16">
        <f>IF(I200="","",IFERROR(_xlfn.XLOOKUP(I200,Chantiers_Zones!$B$2:$B$101,Chantiers_Zones!$C$2:$C$101),"CHANTIER INCONNU"))</f>
        <v/>
      </c>
      <c r="K200" s="12" t="n"/>
      <c r="L200" s="12" t="n"/>
      <c r="M200" s="8" t="n"/>
      <c r="N200" s="8" t="n"/>
      <c r="O200" s="17" t="n"/>
      <c r="P200" s="9">
        <f>IF(M200="Annulée","OK",IF(OR(B200="",C200="",D200="",F200=""),"",IF(COUNTIFS($F$7:$F$206,F200,$B$7:$B$206,B200,$C$7:$C$206,"&lt;"&amp;D200,$D$7:$D$206,"&gt;"&amp;C200,$M$7:$M$206,"&lt;&gt;Annulée")&gt;1,"DOUBLE RÉSERVATION","OK")))</f>
        <v/>
      </c>
      <c r="Q200" s="9">
        <f>IF(M200="Annulée","OK",IF(OR(B200="",C200="",D200="",F200=""),"",IF(SUMPRODUCT((Indisponibilités!$A$2:$A$101=F200)*((Indisponibilités!$B$2:$B$101+Indisponibilités!$C$2:$C$101)&lt;(B200+D200))*((Indisponibilités!$D$2:$D$101+Indisponibilités!$E$2:$E$101)&gt;(B200+C200)))&gt;0,"INDISPONIBLE","OK")))</f>
        <v/>
      </c>
      <c r="R200" s="9">
        <f>IF(OR(I200="",K200=""),"",IF(COUNTIFS(Chantiers_Zones!$B$2:$B$101,I200,Chantiers_Zones!$D$2:$D$101,K200,Chantiers_Zones!$E$2:$E$101,"Oui")&gt;0,"OK","ZONE INVALIDE"))</f>
        <v/>
      </c>
      <c r="S200" s="9">
        <f>IF(OR(B200="",I200=""),"",IFERROR(IF(AND(B200&gt;=_xlfn.XLOOKUP(I200,Chantiers_Zones!$B$2:$B$101,Chantiers_Zones!$F$2:$F$101),B200&lt;=_xlfn.XLOOKUP(I200,Chantiers_Zones!$B$2:$B$101,Chantiers_Zones!$G$2:$G$101)),"OK","HORS PÉRIODE"),"CHANTIER INCONNU"))</f>
        <v/>
      </c>
      <c r="T200" s="9">
        <f>IF(COUNTA(A200:D200,F200,I200,K200:O200)=0,"",IF(M200="Annulée","OK",IF(OR(A200="",B200="",C200="",D200="",F200="",I200="",K200="",L200="",M200=""),"INCOMPLET",IF(D200&lt;=C200,"HORAIRES INVALIDES",IF(OR(C200&lt;Paramètres!$B$3,D200&gt;Paramètres!$B$4),"HORS PLAGE",IF(P200&lt;&gt;"OK",P200,IF(Q200&lt;&gt;"OK",Q200,IF(R200&lt;&gt;"OK",R200,IF(S200&lt;&gt;"OK",S200,"OK")))))))))</f>
        <v/>
      </c>
    </row>
    <row r="201">
      <c r="A201" s="12" t="n"/>
      <c r="B201" s="24" t="n"/>
      <c r="C201" s="25" t="n"/>
      <c r="D201" s="25" t="n"/>
      <c r="E201" s="15">
        <f>IF(OR(C201="",D201=""),"",IF(D201&gt;C201,(D201-C201)*24,""))</f>
        <v/>
      </c>
      <c r="F201" s="12" t="n"/>
      <c r="G201" s="16">
        <f>IF(F201="","",IFERROR(_xlfn.XLOOKUP(F201,Intervenants!$A$2:$A$101,Intervenants!$B$2:$B$101),"ID inconnu"))</f>
        <v/>
      </c>
      <c r="H201" s="16">
        <f>IF(F201="","",IFERROR(_xlfn.XLOOKUP(F201,Intervenants!$A$2:$A$101,Intervenants!$C$2:$C$101),"ID inconnu"))</f>
        <v/>
      </c>
      <c r="I201" s="12" t="n"/>
      <c r="J201" s="16">
        <f>IF(I201="","",IFERROR(_xlfn.XLOOKUP(I201,Chantiers_Zones!$B$2:$B$101,Chantiers_Zones!$C$2:$C$101),"CHANTIER INCONNU"))</f>
        <v/>
      </c>
      <c r="K201" s="12" t="n"/>
      <c r="L201" s="12" t="n"/>
      <c r="M201" s="8" t="n"/>
      <c r="N201" s="8" t="n"/>
      <c r="O201" s="17" t="n"/>
      <c r="P201" s="9">
        <f>IF(M201="Annulée","OK",IF(OR(B201="",C201="",D201="",F201=""),"",IF(COUNTIFS($F$7:$F$206,F201,$B$7:$B$206,B201,$C$7:$C$206,"&lt;"&amp;D201,$D$7:$D$206,"&gt;"&amp;C201,$M$7:$M$206,"&lt;&gt;Annulée")&gt;1,"DOUBLE RÉSERVATION","OK")))</f>
        <v/>
      </c>
      <c r="Q201" s="9">
        <f>IF(M201="Annulée","OK",IF(OR(B201="",C201="",D201="",F201=""),"",IF(SUMPRODUCT((Indisponibilités!$A$2:$A$101=F201)*((Indisponibilités!$B$2:$B$101+Indisponibilités!$C$2:$C$101)&lt;(B201+D201))*((Indisponibilités!$D$2:$D$101+Indisponibilités!$E$2:$E$101)&gt;(B201+C201)))&gt;0,"INDISPONIBLE","OK")))</f>
        <v/>
      </c>
      <c r="R201" s="9">
        <f>IF(OR(I201="",K201=""),"",IF(COUNTIFS(Chantiers_Zones!$B$2:$B$101,I201,Chantiers_Zones!$D$2:$D$101,K201,Chantiers_Zones!$E$2:$E$101,"Oui")&gt;0,"OK","ZONE INVALIDE"))</f>
        <v/>
      </c>
      <c r="S201" s="9">
        <f>IF(OR(B201="",I201=""),"",IFERROR(IF(AND(B201&gt;=_xlfn.XLOOKUP(I201,Chantiers_Zones!$B$2:$B$101,Chantiers_Zones!$F$2:$F$101),B201&lt;=_xlfn.XLOOKUP(I201,Chantiers_Zones!$B$2:$B$101,Chantiers_Zones!$G$2:$G$101)),"OK","HORS PÉRIODE"),"CHANTIER INCONNU"))</f>
        <v/>
      </c>
      <c r="T201" s="9">
        <f>IF(COUNTA(A201:D201,F201,I201,K201:O201)=0,"",IF(M201="Annulée","OK",IF(OR(A201="",B201="",C201="",D201="",F201="",I201="",K201="",L201="",M201=""),"INCOMPLET",IF(D201&lt;=C201,"HORAIRES INVALIDES",IF(OR(C201&lt;Paramètres!$B$3,D201&gt;Paramètres!$B$4),"HORS PLAGE",IF(P201&lt;&gt;"OK",P201,IF(Q201&lt;&gt;"OK",Q201,IF(R201&lt;&gt;"OK",R201,IF(S201&lt;&gt;"OK",S201,"OK")))))))))</f>
        <v/>
      </c>
    </row>
    <row r="202">
      <c r="A202" s="12" t="n"/>
      <c r="B202" s="24" t="n"/>
      <c r="C202" s="25" t="n"/>
      <c r="D202" s="25" t="n"/>
      <c r="E202" s="15">
        <f>IF(OR(C202="",D202=""),"",IF(D202&gt;C202,(D202-C202)*24,""))</f>
        <v/>
      </c>
      <c r="F202" s="12" t="n"/>
      <c r="G202" s="16">
        <f>IF(F202="","",IFERROR(_xlfn.XLOOKUP(F202,Intervenants!$A$2:$A$101,Intervenants!$B$2:$B$101),"ID inconnu"))</f>
        <v/>
      </c>
      <c r="H202" s="16">
        <f>IF(F202="","",IFERROR(_xlfn.XLOOKUP(F202,Intervenants!$A$2:$A$101,Intervenants!$C$2:$C$101),"ID inconnu"))</f>
        <v/>
      </c>
      <c r="I202" s="12" t="n"/>
      <c r="J202" s="16">
        <f>IF(I202="","",IFERROR(_xlfn.XLOOKUP(I202,Chantiers_Zones!$B$2:$B$101,Chantiers_Zones!$C$2:$C$101),"CHANTIER INCONNU"))</f>
        <v/>
      </c>
      <c r="K202" s="12" t="n"/>
      <c r="L202" s="12" t="n"/>
      <c r="M202" s="8" t="n"/>
      <c r="N202" s="8" t="n"/>
      <c r="O202" s="17" t="n"/>
      <c r="P202" s="9">
        <f>IF(M202="Annulée","OK",IF(OR(B202="",C202="",D202="",F202=""),"",IF(COUNTIFS($F$7:$F$206,F202,$B$7:$B$206,B202,$C$7:$C$206,"&lt;"&amp;D202,$D$7:$D$206,"&gt;"&amp;C202,$M$7:$M$206,"&lt;&gt;Annulée")&gt;1,"DOUBLE RÉSERVATION","OK")))</f>
        <v/>
      </c>
      <c r="Q202" s="9">
        <f>IF(M202="Annulée","OK",IF(OR(B202="",C202="",D202="",F202=""),"",IF(SUMPRODUCT((Indisponibilités!$A$2:$A$101=F202)*((Indisponibilités!$B$2:$B$101+Indisponibilités!$C$2:$C$101)&lt;(B202+D202))*((Indisponibilités!$D$2:$D$101+Indisponibilités!$E$2:$E$101)&gt;(B202+C202)))&gt;0,"INDISPONIBLE","OK")))</f>
        <v/>
      </c>
      <c r="R202" s="9">
        <f>IF(OR(I202="",K202=""),"",IF(COUNTIFS(Chantiers_Zones!$B$2:$B$101,I202,Chantiers_Zones!$D$2:$D$101,K202,Chantiers_Zones!$E$2:$E$101,"Oui")&gt;0,"OK","ZONE INVALIDE"))</f>
        <v/>
      </c>
      <c r="S202" s="9">
        <f>IF(OR(B202="",I202=""),"",IFERROR(IF(AND(B202&gt;=_xlfn.XLOOKUP(I202,Chantiers_Zones!$B$2:$B$101,Chantiers_Zones!$F$2:$F$101),B202&lt;=_xlfn.XLOOKUP(I202,Chantiers_Zones!$B$2:$B$101,Chantiers_Zones!$G$2:$G$101)),"OK","HORS PÉRIODE"),"CHANTIER INCONNU"))</f>
        <v/>
      </c>
      <c r="T202" s="9">
        <f>IF(COUNTA(A202:D202,F202,I202,K202:O202)=0,"",IF(M202="Annulée","OK",IF(OR(A202="",B202="",C202="",D202="",F202="",I202="",K202="",L202="",M202=""),"INCOMPLET",IF(D202&lt;=C202,"HORAIRES INVALIDES",IF(OR(C202&lt;Paramètres!$B$3,D202&gt;Paramètres!$B$4),"HORS PLAGE",IF(P202&lt;&gt;"OK",P202,IF(Q202&lt;&gt;"OK",Q202,IF(R202&lt;&gt;"OK",R202,IF(S202&lt;&gt;"OK",S202,"OK")))))))))</f>
        <v/>
      </c>
    </row>
    <row r="203">
      <c r="A203" s="12" t="n"/>
      <c r="B203" s="24" t="n"/>
      <c r="C203" s="25" t="n"/>
      <c r="D203" s="25" t="n"/>
      <c r="E203" s="15">
        <f>IF(OR(C203="",D203=""),"",IF(D203&gt;C203,(D203-C203)*24,""))</f>
        <v/>
      </c>
      <c r="F203" s="12" t="n"/>
      <c r="G203" s="16">
        <f>IF(F203="","",IFERROR(_xlfn.XLOOKUP(F203,Intervenants!$A$2:$A$101,Intervenants!$B$2:$B$101),"ID inconnu"))</f>
        <v/>
      </c>
      <c r="H203" s="16">
        <f>IF(F203="","",IFERROR(_xlfn.XLOOKUP(F203,Intervenants!$A$2:$A$101,Intervenants!$C$2:$C$101),"ID inconnu"))</f>
        <v/>
      </c>
      <c r="I203" s="12" t="n"/>
      <c r="J203" s="16">
        <f>IF(I203="","",IFERROR(_xlfn.XLOOKUP(I203,Chantiers_Zones!$B$2:$B$101,Chantiers_Zones!$C$2:$C$101),"CHANTIER INCONNU"))</f>
        <v/>
      </c>
      <c r="K203" s="12" t="n"/>
      <c r="L203" s="12" t="n"/>
      <c r="M203" s="8" t="n"/>
      <c r="N203" s="8" t="n"/>
      <c r="O203" s="17" t="n"/>
      <c r="P203" s="9">
        <f>IF(M203="Annulée","OK",IF(OR(B203="",C203="",D203="",F203=""),"",IF(COUNTIFS($F$7:$F$206,F203,$B$7:$B$206,B203,$C$7:$C$206,"&lt;"&amp;D203,$D$7:$D$206,"&gt;"&amp;C203,$M$7:$M$206,"&lt;&gt;Annulée")&gt;1,"DOUBLE RÉSERVATION","OK")))</f>
        <v/>
      </c>
      <c r="Q203" s="9">
        <f>IF(M203="Annulée","OK",IF(OR(B203="",C203="",D203="",F203=""),"",IF(SUMPRODUCT((Indisponibilités!$A$2:$A$101=F203)*((Indisponibilités!$B$2:$B$101+Indisponibilités!$C$2:$C$101)&lt;(B203+D203))*((Indisponibilités!$D$2:$D$101+Indisponibilités!$E$2:$E$101)&gt;(B203+C203)))&gt;0,"INDISPONIBLE","OK")))</f>
        <v/>
      </c>
      <c r="R203" s="9">
        <f>IF(OR(I203="",K203=""),"",IF(COUNTIFS(Chantiers_Zones!$B$2:$B$101,I203,Chantiers_Zones!$D$2:$D$101,K203,Chantiers_Zones!$E$2:$E$101,"Oui")&gt;0,"OK","ZONE INVALIDE"))</f>
        <v/>
      </c>
      <c r="S203" s="9">
        <f>IF(OR(B203="",I203=""),"",IFERROR(IF(AND(B203&gt;=_xlfn.XLOOKUP(I203,Chantiers_Zones!$B$2:$B$101,Chantiers_Zones!$F$2:$F$101),B203&lt;=_xlfn.XLOOKUP(I203,Chantiers_Zones!$B$2:$B$101,Chantiers_Zones!$G$2:$G$101)),"OK","HORS PÉRIODE"),"CHANTIER INCONNU"))</f>
        <v/>
      </c>
      <c r="T203" s="9">
        <f>IF(COUNTA(A203:D203,F203,I203,K203:O203)=0,"",IF(M203="Annulée","OK",IF(OR(A203="",B203="",C203="",D203="",F203="",I203="",K203="",L203="",M203=""),"INCOMPLET",IF(D203&lt;=C203,"HORAIRES INVALIDES",IF(OR(C203&lt;Paramètres!$B$3,D203&gt;Paramètres!$B$4),"HORS PLAGE",IF(P203&lt;&gt;"OK",P203,IF(Q203&lt;&gt;"OK",Q203,IF(R203&lt;&gt;"OK",R203,IF(S203&lt;&gt;"OK",S203,"OK")))))))))</f>
        <v/>
      </c>
    </row>
    <row r="204">
      <c r="A204" s="12" t="n"/>
      <c r="B204" s="24" t="n"/>
      <c r="C204" s="25" t="n"/>
      <c r="D204" s="25" t="n"/>
      <c r="E204" s="15">
        <f>IF(OR(C204="",D204=""),"",IF(D204&gt;C204,(D204-C204)*24,""))</f>
        <v/>
      </c>
      <c r="F204" s="12" t="n"/>
      <c r="G204" s="16">
        <f>IF(F204="","",IFERROR(_xlfn.XLOOKUP(F204,Intervenants!$A$2:$A$101,Intervenants!$B$2:$B$101),"ID inconnu"))</f>
        <v/>
      </c>
      <c r="H204" s="16">
        <f>IF(F204="","",IFERROR(_xlfn.XLOOKUP(F204,Intervenants!$A$2:$A$101,Intervenants!$C$2:$C$101),"ID inconnu"))</f>
        <v/>
      </c>
      <c r="I204" s="12" t="n"/>
      <c r="J204" s="16">
        <f>IF(I204="","",IFERROR(_xlfn.XLOOKUP(I204,Chantiers_Zones!$B$2:$B$101,Chantiers_Zones!$C$2:$C$101),"CHANTIER INCONNU"))</f>
        <v/>
      </c>
      <c r="K204" s="12" t="n"/>
      <c r="L204" s="12" t="n"/>
      <c r="M204" s="8" t="n"/>
      <c r="N204" s="8" t="n"/>
      <c r="O204" s="17" t="n"/>
      <c r="P204" s="9">
        <f>IF(M204="Annulée","OK",IF(OR(B204="",C204="",D204="",F204=""),"",IF(COUNTIFS($F$7:$F$206,F204,$B$7:$B$206,B204,$C$7:$C$206,"&lt;"&amp;D204,$D$7:$D$206,"&gt;"&amp;C204,$M$7:$M$206,"&lt;&gt;Annulée")&gt;1,"DOUBLE RÉSERVATION","OK")))</f>
        <v/>
      </c>
      <c r="Q204" s="9">
        <f>IF(M204="Annulée","OK",IF(OR(B204="",C204="",D204="",F204=""),"",IF(SUMPRODUCT((Indisponibilités!$A$2:$A$101=F204)*((Indisponibilités!$B$2:$B$101+Indisponibilités!$C$2:$C$101)&lt;(B204+D204))*((Indisponibilités!$D$2:$D$101+Indisponibilités!$E$2:$E$101)&gt;(B204+C204)))&gt;0,"INDISPONIBLE","OK")))</f>
        <v/>
      </c>
      <c r="R204" s="9">
        <f>IF(OR(I204="",K204=""),"",IF(COUNTIFS(Chantiers_Zones!$B$2:$B$101,I204,Chantiers_Zones!$D$2:$D$101,K204,Chantiers_Zones!$E$2:$E$101,"Oui")&gt;0,"OK","ZONE INVALIDE"))</f>
        <v/>
      </c>
      <c r="S204" s="9">
        <f>IF(OR(B204="",I204=""),"",IFERROR(IF(AND(B204&gt;=_xlfn.XLOOKUP(I204,Chantiers_Zones!$B$2:$B$101,Chantiers_Zones!$F$2:$F$101),B204&lt;=_xlfn.XLOOKUP(I204,Chantiers_Zones!$B$2:$B$101,Chantiers_Zones!$G$2:$G$101)),"OK","HORS PÉRIODE"),"CHANTIER INCONNU"))</f>
        <v/>
      </c>
      <c r="T204" s="9">
        <f>IF(COUNTA(A204:D204,F204,I204,K204:O204)=0,"",IF(M204="Annulée","OK",IF(OR(A204="",B204="",C204="",D204="",F204="",I204="",K204="",L204="",M204=""),"INCOMPLET",IF(D204&lt;=C204,"HORAIRES INVALIDES",IF(OR(C204&lt;Paramètres!$B$3,D204&gt;Paramètres!$B$4),"HORS PLAGE",IF(P204&lt;&gt;"OK",P204,IF(Q204&lt;&gt;"OK",Q204,IF(R204&lt;&gt;"OK",R204,IF(S204&lt;&gt;"OK",S204,"OK")))))))))</f>
        <v/>
      </c>
    </row>
    <row r="205">
      <c r="A205" s="12" t="n"/>
      <c r="B205" s="24" t="n"/>
      <c r="C205" s="25" t="n"/>
      <c r="D205" s="25" t="n"/>
      <c r="E205" s="15">
        <f>IF(OR(C205="",D205=""),"",IF(D205&gt;C205,(D205-C205)*24,""))</f>
        <v/>
      </c>
      <c r="F205" s="12" t="n"/>
      <c r="G205" s="16">
        <f>IF(F205="","",IFERROR(_xlfn.XLOOKUP(F205,Intervenants!$A$2:$A$101,Intervenants!$B$2:$B$101),"ID inconnu"))</f>
        <v/>
      </c>
      <c r="H205" s="16">
        <f>IF(F205="","",IFERROR(_xlfn.XLOOKUP(F205,Intervenants!$A$2:$A$101,Intervenants!$C$2:$C$101),"ID inconnu"))</f>
        <v/>
      </c>
      <c r="I205" s="12" t="n"/>
      <c r="J205" s="16">
        <f>IF(I205="","",IFERROR(_xlfn.XLOOKUP(I205,Chantiers_Zones!$B$2:$B$101,Chantiers_Zones!$C$2:$C$101),"CHANTIER INCONNU"))</f>
        <v/>
      </c>
      <c r="K205" s="12" t="n"/>
      <c r="L205" s="12" t="n"/>
      <c r="M205" s="8" t="n"/>
      <c r="N205" s="8" t="n"/>
      <c r="O205" s="17" t="n"/>
      <c r="P205" s="9">
        <f>IF(M205="Annulée","OK",IF(OR(B205="",C205="",D205="",F205=""),"",IF(COUNTIFS($F$7:$F$206,F205,$B$7:$B$206,B205,$C$7:$C$206,"&lt;"&amp;D205,$D$7:$D$206,"&gt;"&amp;C205,$M$7:$M$206,"&lt;&gt;Annulée")&gt;1,"DOUBLE RÉSERVATION","OK")))</f>
        <v/>
      </c>
      <c r="Q205" s="9">
        <f>IF(M205="Annulée","OK",IF(OR(B205="",C205="",D205="",F205=""),"",IF(SUMPRODUCT((Indisponibilités!$A$2:$A$101=F205)*((Indisponibilités!$B$2:$B$101+Indisponibilités!$C$2:$C$101)&lt;(B205+D205))*((Indisponibilités!$D$2:$D$101+Indisponibilités!$E$2:$E$101)&gt;(B205+C205)))&gt;0,"INDISPONIBLE","OK")))</f>
        <v/>
      </c>
      <c r="R205" s="9">
        <f>IF(OR(I205="",K205=""),"",IF(COUNTIFS(Chantiers_Zones!$B$2:$B$101,I205,Chantiers_Zones!$D$2:$D$101,K205,Chantiers_Zones!$E$2:$E$101,"Oui")&gt;0,"OK","ZONE INVALIDE"))</f>
        <v/>
      </c>
      <c r="S205" s="9">
        <f>IF(OR(B205="",I205=""),"",IFERROR(IF(AND(B205&gt;=_xlfn.XLOOKUP(I205,Chantiers_Zones!$B$2:$B$101,Chantiers_Zones!$F$2:$F$101),B205&lt;=_xlfn.XLOOKUP(I205,Chantiers_Zones!$B$2:$B$101,Chantiers_Zones!$G$2:$G$101)),"OK","HORS PÉRIODE"),"CHANTIER INCONNU"))</f>
        <v/>
      </c>
      <c r="T205" s="9">
        <f>IF(COUNTA(A205:D205,F205,I205,K205:O205)=0,"",IF(M205="Annulée","OK",IF(OR(A205="",B205="",C205="",D205="",F205="",I205="",K205="",L205="",M205=""),"INCOMPLET",IF(D205&lt;=C205,"HORAIRES INVALIDES",IF(OR(C205&lt;Paramètres!$B$3,D205&gt;Paramètres!$B$4),"HORS PLAGE",IF(P205&lt;&gt;"OK",P205,IF(Q205&lt;&gt;"OK",Q205,IF(R205&lt;&gt;"OK",R205,IF(S205&lt;&gt;"OK",S205,"OK")))))))))</f>
        <v/>
      </c>
    </row>
    <row r="206">
      <c r="A206" s="12" t="n"/>
      <c r="B206" s="24" t="n"/>
      <c r="C206" s="25" t="n"/>
      <c r="D206" s="25" t="n"/>
      <c r="E206" s="15">
        <f>IF(OR(C206="",D206=""),"",IF(D206&gt;C206,(D206-C206)*24,""))</f>
        <v/>
      </c>
      <c r="F206" s="12" t="n"/>
      <c r="G206" s="16">
        <f>IF(F206="","",IFERROR(_xlfn.XLOOKUP(F206,Intervenants!$A$2:$A$101,Intervenants!$B$2:$B$101),"ID inconnu"))</f>
        <v/>
      </c>
      <c r="H206" s="16">
        <f>IF(F206="","",IFERROR(_xlfn.XLOOKUP(F206,Intervenants!$A$2:$A$101,Intervenants!$C$2:$C$101),"ID inconnu"))</f>
        <v/>
      </c>
      <c r="I206" s="12" t="n"/>
      <c r="J206" s="16">
        <f>IF(I206="","",IFERROR(_xlfn.XLOOKUP(I206,Chantiers_Zones!$B$2:$B$101,Chantiers_Zones!$C$2:$C$101),"CHANTIER INCONNU"))</f>
        <v/>
      </c>
      <c r="K206" s="12" t="n"/>
      <c r="L206" s="12" t="n"/>
      <c r="M206" s="8" t="n"/>
      <c r="N206" s="8" t="n"/>
      <c r="O206" s="17" t="n"/>
      <c r="P206" s="9">
        <f>IF(M206="Annulée","OK",IF(OR(B206="",C206="",D206="",F206=""),"",IF(COUNTIFS($F$7:$F$206,F206,$B$7:$B$206,B206,$C$7:$C$206,"&lt;"&amp;D206,$D$7:$D$206,"&gt;"&amp;C206,$M$7:$M$206,"&lt;&gt;Annulée")&gt;1,"DOUBLE RÉSERVATION","OK")))</f>
        <v/>
      </c>
      <c r="Q206" s="9">
        <f>IF(M206="Annulée","OK",IF(OR(B206="",C206="",D206="",F206=""),"",IF(SUMPRODUCT((Indisponibilités!$A$2:$A$101=F206)*((Indisponibilités!$B$2:$B$101+Indisponibilités!$C$2:$C$101)&lt;(B206+D206))*((Indisponibilités!$D$2:$D$101+Indisponibilités!$E$2:$E$101)&gt;(B206+C206)))&gt;0,"INDISPONIBLE","OK")))</f>
        <v/>
      </c>
      <c r="R206" s="9">
        <f>IF(OR(I206="",K206=""),"",IF(COUNTIFS(Chantiers_Zones!$B$2:$B$101,I206,Chantiers_Zones!$D$2:$D$101,K206,Chantiers_Zones!$E$2:$E$101,"Oui")&gt;0,"OK","ZONE INVALIDE"))</f>
        <v/>
      </c>
      <c r="S206" s="9">
        <f>IF(OR(B206="",I206=""),"",IFERROR(IF(AND(B206&gt;=_xlfn.XLOOKUP(I206,Chantiers_Zones!$B$2:$B$101,Chantiers_Zones!$F$2:$F$101),B206&lt;=_xlfn.XLOOKUP(I206,Chantiers_Zones!$B$2:$B$101,Chantiers_Zones!$G$2:$G$101)),"OK","HORS PÉRIODE"),"CHANTIER INCONNU"))</f>
        <v/>
      </c>
      <c r="T206" s="9">
        <f>IF(COUNTA(A206:D206,F206,I206,K206:O206)=0,"",IF(M206="Annulée","OK",IF(OR(A206="",B206="",C206="",D206="",F206="",I206="",K206="",L206="",M206=""),"INCOMPLET",IF(D206&lt;=C206,"HORAIRES INVALIDES",IF(OR(C206&lt;Paramètres!$B$3,D206&gt;Paramètres!$B$4),"HORS PLAGE",IF(P206&lt;&gt;"OK",P206,IF(Q206&lt;&gt;"OK",Q206,IF(R206&lt;&gt;"OK",R206,IF(S206&lt;&gt;"OK",S206,"OK")))))))))</f>
        <v/>
      </c>
    </row>
  </sheetData>
  <autoFilter ref="A6:T206"/>
  <mergeCells count="1">
    <mergeCell ref="A1:T1"/>
  </mergeCells>
  <conditionalFormatting sqref="T7:T206">
    <cfRule type="expression" priority="1" dxfId="0">
      <formula>AND($T7&lt;&gt;"",$T7&lt;&gt;"OK")</formula>
    </cfRule>
    <cfRule type="expression" priority="2" dxfId="1">
      <formula>$T7="OK"</formula>
    </cfRule>
  </conditionalFormatting>
  <conditionalFormatting sqref="P7:P206">
    <cfRule type="expression" priority="3" dxfId="2">
      <formula>$P7="DOUBLE RÉSERVATION"</formula>
    </cfRule>
  </conditionalFormatting>
  <conditionalFormatting sqref="Q7:Q206">
    <cfRule type="expression" priority="4" dxfId="3">
      <formula>$Q7="INDISPONIBLE"</formula>
    </cfRule>
  </conditionalFormatting>
  <conditionalFormatting sqref="R7:R206">
    <cfRule type="expression" priority="5" dxfId="4">
      <formula>AND($R7&lt;&gt;"",$R7&lt;&gt;"OK")</formula>
    </cfRule>
  </conditionalFormatting>
  <conditionalFormatting sqref="S7:S206">
    <cfRule type="expression" priority="6" dxfId="4">
      <formula>AND($S7&lt;&gt;"",$S7&lt;&gt;"OK")</formula>
    </cfRule>
  </conditionalFormatting>
  <conditionalFormatting sqref="D7:D206">
    <cfRule type="expression" priority="7" dxfId="0">
      <formula>AND($C7&lt;&gt;"",$D7&lt;&gt;"",$D7&lt;=$C7)</formula>
    </cfRule>
  </conditionalFormatting>
  <conditionalFormatting sqref="B7:B206">
    <cfRule type="expression" priority="8" dxfId="5">
      <formula>AND($B7&lt;&gt;"",Paramètres!$B$2&lt;&gt;"",$B7=Paramètres!$B$2)</formula>
    </cfRule>
  </conditionalFormatting>
  <dataValidations count="7">
    <dataValidation sqref="B7:B206" showErrorMessage="1" showInputMessage="1" allowBlank="1" errorTitle="Date non autorisée" error="Saisir une date comprise dans les limites définies dans Paramètres." type="date" operator="between">
      <formula1>INDIRECT("Paramètres!$B$5")</formula1>
      <formula2>INDIRECT("Paramètres!$B$6")</formula2>
    </dataValidation>
    <dataValidation sqref="C7:D206" showErrorMessage="1" showInputMessage="1" allowBlank="1" errorTitle="Heure non autorisée" error="Saisir une heure comprise entre 00:00 et 23:59." type="time" operator="between">
      <formula1>0</formula1>
      <formula2>TIME(23,59,59)</formula2>
    </dataValidation>
    <dataValidation sqref="F7:F206" showErrorMessage="1" showInputMessage="1" allowBlank="1" errorTitle="Intervenant non autorisé" error="Choisir un identifiant d’intervenant actif." type="list">
      <formula1>INDIRECT("Paramètres!$G$2:$G$101")</formula1>
    </dataValidation>
    <dataValidation sqref="I7:I206" showErrorMessage="1" showInputMessage="1" allowBlank="1" errorTitle="Chantier non autorisé" error="Choisir un identifiant de chantier actif." type="list">
      <formula1>INDIRECT("Paramètres!$H$2:$H$101")</formula1>
    </dataValidation>
    <dataValidation sqref="K7:K206" showErrorMessage="1" showInputMessage="1" allowBlank="1" errorTitle="Zone non autorisée" error="Choisir une zone active dans la liste." type="list">
      <formula1>INDIRECT("Paramètres!$I$2:$I$101")</formula1>
    </dataValidation>
    <dataValidation sqref="M7:M206" showErrorMessage="1" showInputMessage="1" allowBlank="1" errorTitle="Statut non autorisé" error="Choisir un statut dans la liste des Paramètres." type="list">
      <formula1>INDIRECT("Paramètres!$D$2:$D$5")</formula1>
    </dataValidation>
    <dataValidation sqref="N7:N206" showErrorMessage="1" showInputMessage="1" allowBlank="1" errorTitle="Priorité non autorisée" error="Choisir une priorité dans la liste des Paramètres." type="list">
      <formula1>INDIRECT("Paramètres!$E$2:$E$4")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E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4" customWidth="1" min="2" max="2"/>
    <col width="19" customWidth="1" min="3" max="3"/>
    <col width="25" customWidth="1" min="4" max="4"/>
    <col width="11" customWidth="1" min="5" max="5"/>
  </cols>
  <sheetData>
    <row r="1" ht="32" customHeight="1">
      <c r="A1" s="18" t="inlineStr">
        <is>
          <t>ID intervenant</t>
        </is>
      </c>
      <c r="B1" s="18" t="inlineStr">
        <is>
          <t>Nom affiché</t>
        </is>
      </c>
      <c r="C1" s="18" t="inlineStr">
        <is>
          <t>Équipe</t>
        </is>
      </c>
      <c r="D1" s="18" t="inlineStr">
        <is>
          <t>Métier</t>
        </is>
      </c>
      <c r="E1" s="18" t="inlineStr">
        <is>
          <t>Actif</t>
        </is>
      </c>
    </row>
    <row r="2">
      <c r="A2" s="12" t="inlineStr">
        <is>
          <t>INT-001</t>
        </is>
      </c>
      <c r="B2" s="12" t="inlineStr">
        <is>
          <t>Personne Démo 01</t>
        </is>
      </c>
      <c r="C2" s="12" t="inlineStr">
        <is>
          <t>Équipe Démo A</t>
        </is>
      </c>
      <c r="D2" s="12" t="inlineStr">
        <is>
          <t>Chef d’équipe fictif</t>
        </is>
      </c>
      <c r="E2" s="12" t="inlineStr">
        <is>
          <t>Oui</t>
        </is>
      </c>
    </row>
    <row r="3">
      <c r="A3" s="12" t="inlineStr">
        <is>
          <t>INT-002</t>
        </is>
      </c>
      <c r="B3" s="12" t="inlineStr">
        <is>
          <t>Personne Démo 02</t>
        </is>
      </c>
      <c r="C3" s="12" t="inlineStr">
        <is>
          <t>Équipe Démo A</t>
        </is>
      </c>
      <c r="D3" s="12" t="inlineStr">
        <is>
          <t>Maçonnerie démo</t>
        </is>
      </c>
      <c r="E3" s="12" t="inlineStr">
        <is>
          <t>Oui</t>
        </is>
      </c>
    </row>
    <row r="4">
      <c r="A4" s="12" t="inlineStr">
        <is>
          <t>INT-003</t>
        </is>
      </c>
      <c r="B4" s="12" t="inlineStr">
        <is>
          <t>Personne Démo 03</t>
        </is>
      </c>
      <c r="C4" s="12" t="inlineStr">
        <is>
          <t>Équipe Démo B</t>
        </is>
      </c>
      <c r="D4" s="12" t="inlineStr">
        <is>
          <t>Électricité démo</t>
        </is>
      </c>
      <c r="E4" s="12" t="inlineStr">
        <is>
          <t>Oui</t>
        </is>
      </c>
    </row>
    <row r="5">
      <c r="A5" s="12" t="inlineStr">
        <is>
          <t>INT-004</t>
        </is>
      </c>
      <c r="B5" s="12" t="inlineStr">
        <is>
          <t>Personne Démo 04</t>
        </is>
      </c>
      <c r="C5" s="12" t="inlineStr">
        <is>
          <t>Équipe Démo B</t>
        </is>
      </c>
      <c r="D5" s="12" t="inlineStr">
        <is>
          <t>Plomberie démo</t>
        </is>
      </c>
      <c r="E5" s="12" t="inlineStr">
        <is>
          <t>Oui</t>
        </is>
      </c>
    </row>
    <row r="6">
      <c r="A6" s="12" t="inlineStr">
        <is>
          <t>INT-005</t>
        </is>
      </c>
      <c r="B6" s="12" t="inlineStr">
        <is>
          <t>Personne Démo 05</t>
        </is>
      </c>
      <c r="C6" s="12" t="inlineStr">
        <is>
          <t>Équipe Démo C</t>
        </is>
      </c>
      <c r="D6" s="12" t="inlineStr">
        <is>
          <t>Peinture démo</t>
        </is>
      </c>
      <c r="E6" s="12" t="inlineStr">
        <is>
          <t>Oui</t>
        </is>
      </c>
    </row>
    <row r="7">
      <c r="A7" s="12" t="inlineStr">
        <is>
          <t>INT-006</t>
        </is>
      </c>
      <c r="B7" s="12" t="inlineStr">
        <is>
          <t>Personne Démo 06</t>
        </is>
      </c>
      <c r="C7" s="12" t="inlineStr">
        <is>
          <t>Équipe Démo C</t>
        </is>
      </c>
      <c r="D7" s="12" t="inlineStr">
        <is>
          <t>Menuiserie démo</t>
        </is>
      </c>
      <c r="E7" s="12" t="inlineStr">
        <is>
          <t>Oui</t>
        </is>
      </c>
    </row>
    <row r="8">
      <c r="A8" s="12" t="inlineStr">
        <is>
          <t>INT-007</t>
        </is>
      </c>
      <c r="B8" s="12" t="inlineStr">
        <is>
          <t>Personne Démo 07</t>
        </is>
      </c>
      <c r="C8" s="12" t="inlineStr">
        <is>
          <t>Équipe Démo D</t>
        </is>
      </c>
      <c r="D8" s="12" t="inlineStr">
        <is>
          <t>Conduite d’engin démo</t>
        </is>
      </c>
      <c r="E8" s="12" t="inlineStr">
        <is>
          <t>Oui</t>
        </is>
      </c>
    </row>
    <row r="9">
      <c r="A9" s="12" t="inlineStr">
        <is>
          <t>INT-008</t>
        </is>
      </c>
      <c r="B9" s="12" t="inlineStr">
        <is>
          <t>Personne Démo 08</t>
        </is>
      </c>
      <c r="C9" s="12" t="inlineStr">
        <is>
          <t>Équipe Démo D</t>
        </is>
      </c>
      <c r="D9" s="12" t="inlineStr">
        <is>
          <t>Logistique démo</t>
        </is>
      </c>
      <c r="E9" s="12" t="inlineStr">
        <is>
          <t>Oui</t>
        </is>
      </c>
    </row>
    <row r="10">
      <c r="A10" s="12" t="inlineStr">
        <is>
          <t>INT-009</t>
        </is>
      </c>
      <c r="B10" s="12" t="inlineStr">
        <is>
          <t>Personne Démo 09</t>
        </is>
      </c>
      <c r="C10" s="12" t="inlineStr">
        <is>
          <t>Équipe Démo E</t>
        </is>
      </c>
      <c r="D10" s="12" t="inlineStr">
        <is>
          <t>Second œuvre démo</t>
        </is>
      </c>
      <c r="E10" s="12" t="inlineStr">
        <is>
          <t>Non</t>
        </is>
      </c>
    </row>
    <row r="11">
      <c r="A11" s="12" t="inlineStr">
        <is>
          <t>INT-010</t>
        </is>
      </c>
      <c r="B11" s="12" t="inlineStr">
        <is>
          <t>Personne Démo 10</t>
        </is>
      </c>
      <c r="C11" s="12" t="inlineStr">
        <is>
          <t>Équipe Démo E</t>
        </is>
      </c>
      <c r="D11" s="12" t="inlineStr">
        <is>
          <t>Finitions démo</t>
        </is>
      </c>
      <c r="E11" s="12" t="inlineStr">
        <is>
          <t>Non</t>
        </is>
      </c>
    </row>
    <row r="12">
      <c r="A12" s="12" t="n"/>
      <c r="B12" s="12" t="n"/>
      <c r="C12" s="12" t="n"/>
      <c r="D12" s="12" t="n"/>
      <c r="E12" s="12" t="n"/>
    </row>
    <row r="13">
      <c r="A13" s="12" t="n"/>
      <c r="B13" s="12" t="n"/>
      <c r="C13" s="12" t="n"/>
      <c r="D13" s="12" t="n"/>
      <c r="E13" s="12" t="n"/>
    </row>
    <row r="14">
      <c r="A14" s="12" t="n"/>
      <c r="B14" s="12" t="n"/>
      <c r="C14" s="12" t="n"/>
      <c r="D14" s="12" t="n"/>
      <c r="E14" s="12" t="n"/>
    </row>
    <row r="15">
      <c r="A15" s="12" t="n"/>
      <c r="B15" s="12" t="n"/>
      <c r="C15" s="12" t="n"/>
      <c r="D15" s="12" t="n"/>
      <c r="E15" s="12" t="n"/>
    </row>
    <row r="16">
      <c r="A16" s="12" t="n"/>
      <c r="B16" s="12" t="n"/>
      <c r="C16" s="12" t="n"/>
      <c r="D16" s="12" t="n"/>
      <c r="E16" s="12" t="n"/>
    </row>
    <row r="17">
      <c r="A17" s="12" t="n"/>
      <c r="B17" s="12" t="n"/>
      <c r="C17" s="12" t="n"/>
      <c r="D17" s="12" t="n"/>
      <c r="E17" s="12" t="n"/>
    </row>
    <row r="18">
      <c r="A18" s="12" t="n"/>
      <c r="B18" s="12" t="n"/>
      <c r="C18" s="12" t="n"/>
      <c r="D18" s="12" t="n"/>
      <c r="E18" s="12" t="n"/>
    </row>
    <row r="19">
      <c r="A19" s="12" t="n"/>
      <c r="B19" s="12" t="n"/>
      <c r="C19" s="12" t="n"/>
      <c r="D19" s="12" t="n"/>
      <c r="E19" s="12" t="n"/>
    </row>
    <row r="20">
      <c r="A20" s="12" t="n"/>
      <c r="B20" s="12" t="n"/>
      <c r="C20" s="12" t="n"/>
      <c r="D20" s="12" t="n"/>
      <c r="E20" s="12" t="n"/>
    </row>
    <row r="21">
      <c r="A21" s="12" t="n"/>
      <c r="B21" s="12" t="n"/>
      <c r="C21" s="12" t="n"/>
      <c r="D21" s="12" t="n"/>
      <c r="E21" s="12" t="n"/>
    </row>
    <row r="22">
      <c r="A22" s="12" t="n"/>
      <c r="B22" s="12" t="n"/>
      <c r="C22" s="12" t="n"/>
      <c r="D22" s="12" t="n"/>
      <c r="E22" s="12" t="n"/>
    </row>
    <row r="23">
      <c r="A23" s="12" t="n"/>
      <c r="B23" s="12" t="n"/>
      <c r="C23" s="12" t="n"/>
      <c r="D23" s="12" t="n"/>
      <c r="E23" s="12" t="n"/>
    </row>
    <row r="24">
      <c r="A24" s="12" t="n"/>
      <c r="B24" s="12" t="n"/>
      <c r="C24" s="12" t="n"/>
      <c r="D24" s="12" t="n"/>
      <c r="E24" s="12" t="n"/>
    </row>
    <row r="25">
      <c r="A25" s="12" t="n"/>
      <c r="B25" s="12" t="n"/>
      <c r="C25" s="12" t="n"/>
      <c r="D25" s="12" t="n"/>
      <c r="E25" s="12" t="n"/>
    </row>
    <row r="26">
      <c r="A26" s="12" t="n"/>
      <c r="B26" s="12" t="n"/>
      <c r="C26" s="12" t="n"/>
      <c r="D26" s="12" t="n"/>
      <c r="E26" s="12" t="n"/>
    </row>
    <row r="27">
      <c r="A27" s="12" t="n"/>
      <c r="B27" s="12" t="n"/>
      <c r="C27" s="12" t="n"/>
      <c r="D27" s="12" t="n"/>
      <c r="E27" s="12" t="n"/>
    </row>
    <row r="28">
      <c r="A28" s="12" t="n"/>
      <c r="B28" s="12" t="n"/>
      <c r="C28" s="12" t="n"/>
      <c r="D28" s="12" t="n"/>
      <c r="E28" s="12" t="n"/>
    </row>
    <row r="29">
      <c r="A29" s="12" t="n"/>
      <c r="B29" s="12" t="n"/>
      <c r="C29" s="12" t="n"/>
      <c r="D29" s="12" t="n"/>
      <c r="E29" s="12" t="n"/>
    </row>
    <row r="30">
      <c r="A30" s="12" t="n"/>
      <c r="B30" s="12" t="n"/>
      <c r="C30" s="12" t="n"/>
      <c r="D30" s="12" t="n"/>
      <c r="E30" s="12" t="n"/>
    </row>
    <row r="31">
      <c r="A31" s="12" t="n"/>
      <c r="B31" s="12" t="n"/>
      <c r="C31" s="12" t="n"/>
      <c r="D31" s="12" t="n"/>
      <c r="E31" s="12" t="n"/>
    </row>
    <row r="32">
      <c r="A32" s="12" t="n"/>
      <c r="B32" s="12" t="n"/>
      <c r="C32" s="12" t="n"/>
      <c r="D32" s="12" t="n"/>
      <c r="E32" s="12" t="n"/>
    </row>
    <row r="33">
      <c r="A33" s="12" t="n"/>
      <c r="B33" s="12" t="n"/>
      <c r="C33" s="12" t="n"/>
      <c r="D33" s="12" t="n"/>
      <c r="E33" s="12" t="n"/>
    </row>
    <row r="34">
      <c r="A34" s="12" t="n"/>
      <c r="B34" s="12" t="n"/>
      <c r="C34" s="12" t="n"/>
      <c r="D34" s="12" t="n"/>
      <c r="E34" s="12" t="n"/>
    </row>
    <row r="35">
      <c r="A35" s="12" t="n"/>
      <c r="B35" s="12" t="n"/>
      <c r="C35" s="12" t="n"/>
      <c r="D35" s="12" t="n"/>
      <c r="E35" s="12" t="n"/>
    </row>
    <row r="36">
      <c r="A36" s="12" t="n"/>
      <c r="B36" s="12" t="n"/>
      <c r="C36" s="12" t="n"/>
      <c r="D36" s="12" t="n"/>
      <c r="E36" s="12" t="n"/>
    </row>
    <row r="37">
      <c r="A37" s="12" t="n"/>
      <c r="B37" s="12" t="n"/>
      <c r="C37" s="12" t="n"/>
      <c r="D37" s="12" t="n"/>
      <c r="E37" s="12" t="n"/>
    </row>
    <row r="38">
      <c r="A38" s="12" t="n"/>
      <c r="B38" s="12" t="n"/>
      <c r="C38" s="12" t="n"/>
      <c r="D38" s="12" t="n"/>
      <c r="E38" s="12" t="n"/>
    </row>
    <row r="39">
      <c r="A39" s="12" t="n"/>
      <c r="B39" s="12" t="n"/>
      <c r="C39" s="12" t="n"/>
      <c r="D39" s="12" t="n"/>
      <c r="E39" s="12" t="n"/>
    </row>
    <row r="40">
      <c r="A40" s="12" t="n"/>
      <c r="B40" s="12" t="n"/>
      <c r="C40" s="12" t="n"/>
      <c r="D40" s="12" t="n"/>
      <c r="E40" s="12" t="n"/>
    </row>
    <row r="41">
      <c r="A41" s="12" t="n"/>
      <c r="B41" s="12" t="n"/>
      <c r="C41" s="12" t="n"/>
      <c r="D41" s="12" t="n"/>
      <c r="E41" s="12" t="n"/>
    </row>
    <row r="42">
      <c r="A42" s="12" t="n"/>
      <c r="B42" s="12" t="n"/>
      <c r="C42" s="12" t="n"/>
      <c r="D42" s="12" t="n"/>
      <c r="E42" s="12" t="n"/>
    </row>
    <row r="43">
      <c r="A43" s="12" t="n"/>
      <c r="B43" s="12" t="n"/>
      <c r="C43" s="12" t="n"/>
      <c r="D43" s="12" t="n"/>
      <c r="E43" s="12" t="n"/>
    </row>
    <row r="44">
      <c r="A44" s="12" t="n"/>
      <c r="B44" s="12" t="n"/>
      <c r="C44" s="12" t="n"/>
      <c r="D44" s="12" t="n"/>
      <c r="E44" s="12" t="n"/>
    </row>
    <row r="45">
      <c r="A45" s="12" t="n"/>
      <c r="B45" s="12" t="n"/>
      <c r="C45" s="12" t="n"/>
      <c r="D45" s="12" t="n"/>
      <c r="E45" s="12" t="n"/>
    </row>
    <row r="46">
      <c r="A46" s="12" t="n"/>
      <c r="B46" s="12" t="n"/>
      <c r="C46" s="12" t="n"/>
      <c r="D46" s="12" t="n"/>
      <c r="E46" s="12" t="n"/>
    </row>
    <row r="47">
      <c r="A47" s="12" t="n"/>
      <c r="B47" s="12" t="n"/>
      <c r="C47" s="12" t="n"/>
      <c r="D47" s="12" t="n"/>
      <c r="E47" s="12" t="n"/>
    </row>
    <row r="48">
      <c r="A48" s="12" t="n"/>
      <c r="B48" s="12" t="n"/>
      <c r="C48" s="12" t="n"/>
      <c r="D48" s="12" t="n"/>
      <c r="E48" s="12" t="n"/>
    </row>
    <row r="49">
      <c r="A49" s="12" t="n"/>
      <c r="B49" s="12" t="n"/>
      <c r="C49" s="12" t="n"/>
      <c r="D49" s="12" t="n"/>
      <c r="E49" s="12" t="n"/>
    </row>
    <row r="50">
      <c r="A50" s="12" t="n"/>
      <c r="B50" s="12" t="n"/>
      <c r="C50" s="12" t="n"/>
      <c r="D50" s="12" t="n"/>
      <c r="E50" s="12" t="n"/>
    </row>
    <row r="51">
      <c r="A51" s="12" t="n"/>
      <c r="B51" s="12" t="n"/>
      <c r="C51" s="12" t="n"/>
      <c r="D51" s="12" t="n"/>
      <c r="E51" s="12" t="n"/>
    </row>
    <row r="52">
      <c r="A52" s="12" t="n"/>
      <c r="B52" s="12" t="n"/>
      <c r="C52" s="12" t="n"/>
      <c r="D52" s="12" t="n"/>
      <c r="E52" s="12" t="n"/>
    </row>
    <row r="53">
      <c r="A53" s="12" t="n"/>
      <c r="B53" s="12" t="n"/>
      <c r="C53" s="12" t="n"/>
      <c r="D53" s="12" t="n"/>
      <c r="E53" s="12" t="n"/>
    </row>
    <row r="54">
      <c r="A54" s="12" t="n"/>
      <c r="B54" s="12" t="n"/>
      <c r="C54" s="12" t="n"/>
      <c r="D54" s="12" t="n"/>
      <c r="E54" s="12" t="n"/>
    </row>
    <row r="55">
      <c r="A55" s="12" t="n"/>
      <c r="B55" s="12" t="n"/>
      <c r="C55" s="12" t="n"/>
      <c r="D55" s="12" t="n"/>
      <c r="E55" s="12" t="n"/>
    </row>
    <row r="56">
      <c r="A56" s="12" t="n"/>
      <c r="B56" s="12" t="n"/>
      <c r="C56" s="12" t="n"/>
      <c r="D56" s="12" t="n"/>
      <c r="E56" s="12" t="n"/>
    </row>
    <row r="57">
      <c r="A57" s="12" t="n"/>
      <c r="B57" s="12" t="n"/>
      <c r="C57" s="12" t="n"/>
      <c r="D57" s="12" t="n"/>
      <c r="E57" s="12" t="n"/>
    </row>
    <row r="58">
      <c r="A58" s="12" t="n"/>
      <c r="B58" s="12" t="n"/>
      <c r="C58" s="12" t="n"/>
      <c r="D58" s="12" t="n"/>
      <c r="E58" s="12" t="n"/>
    </row>
    <row r="59">
      <c r="A59" s="12" t="n"/>
      <c r="B59" s="12" t="n"/>
      <c r="C59" s="12" t="n"/>
      <c r="D59" s="12" t="n"/>
      <c r="E59" s="12" t="n"/>
    </row>
    <row r="60">
      <c r="A60" s="12" t="n"/>
      <c r="B60" s="12" t="n"/>
      <c r="C60" s="12" t="n"/>
      <c r="D60" s="12" t="n"/>
      <c r="E60" s="12" t="n"/>
    </row>
    <row r="61">
      <c r="A61" s="12" t="n"/>
      <c r="B61" s="12" t="n"/>
      <c r="C61" s="12" t="n"/>
      <c r="D61" s="12" t="n"/>
      <c r="E61" s="12" t="n"/>
    </row>
    <row r="62">
      <c r="A62" s="12" t="n"/>
      <c r="B62" s="12" t="n"/>
      <c r="C62" s="12" t="n"/>
      <c r="D62" s="12" t="n"/>
      <c r="E62" s="12" t="n"/>
    </row>
    <row r="63">
      <c r="A63" s="12" t="n"/>
      <c r="B63" s="12" t="n"/>
      <c r="C63" s="12" t="n"/>
      <c r="D63" s="12" t="n"/>
      <c r="E63" s="12" t="n"/>
    </row>
    <row r="64">
      <c r="A64" s="12" t="n"/>
      <c r="B64" s="12" t="n"/>
      <c r="C64" s="12" t="n"/>
      <c r="D64" s="12" t="n"/>
      <c r="E64" s="12" t="n"/>
    </row>
    <row r="65">
      <c r="A65" s="12" t="n"/>
      <c r="B65" s="12" t="n"/>
      <c r="C65" s="12" t="n"/>
      <c r="D65" s="12" t="n"/>
      <c r="E65" s="12" t="n"/>
    </row>
    <row r="66">
      <c r="A66" s="12" t="n"/>
      <c r="B66" s="12" t="n"/>
      <c r="C66" s="12" t="n"/>
      <c r="D66" s="12" t="n"/>
      <c r="E66" s="12" t="n"/>
    </row>
    <row r="67">
      <c r="A67" s="12" t="n"/>
      <c r="B67" s="12" t="n"/>
      <c r="C67" s="12" t="n"/>
      <c r="D67" s="12" t="n"/>
      <c r="E67" s="12" t="n"/>
    </row>
    <row r="68">
      <c r="A68" s="12" t="n"/>
      <c r="B68" s="12" t="n"/>
      <c r="C68" s="12" t="n"/>
      <c r="D68" s="12" t="n"/>
      <c r="E68" s="12" t="n"/>
    </row>
    <row r="69">
      <c r="A69" s="12" t="n"/>
      <c r="B69" s="12" t="n"/>
      <c r="C69" s="12" t="n"/>
      <c r="D69" s="12" t="n"/>
      <c r="E69" s="12" t="n"/>
    </row>
    <row r="70">
      <c r="A70" s="12" t="n"/>
      <c r="B70" s="12" t="n"/>
      <c r="C70" s="12" t="n"/>
      <c r="D70" s="12" t="n"/>
      <c r="E70" s="12" t="n"/>
    </row>
    <row r="71">
      <c r="A71" s="12" t="n"/>
      <c r="B71" s="12" t="n"/>
      <c r="C71" s="12" t="n"/>
      <c r="D71" s="12" t="n"/>
      <c r="E71" s="12" t="n"/>
    </row>
    <row r="72">
      <c r="A72" s="12" t="n"/>
      <c r="B72" s="12" t="n"/>
      <c r="C72" s="12" t="n"/>
      <c r="D72" s="12" t="n"/>
      <c r="E72" s="12" t="n"/>
    </row>
    <row r="73">
      <c r="A73" s="12" t="n"/>
      <c r="B73" s="12" t="n"/>
      <c r="C73" s="12" t="n"/>
      <c r="D73" s="12" t="n"/>
      <c r="E73" s="12" t="n"/>
    </row>
    <row r="74">
      <c r="A74" s="12" t="n"/>
      <c r="B74" s="12" t="n"/>
      <c r="C74" s="12" t="n"/>
      <c r="D74" s="12" t="n"/>
      <c r="E74" s="12" t="n"/>
    </row>
    <row r="75">
      <c r="A75" s="12" t="n"/>
      <c r="B75" s="12" t="n"/>
      <c r="C75" s="12" t="n"/>
      <c r="D75" s="12" t="n"/>
      <c r="E75" s="12" t="n"/>
    </row>
    <row r="76">
      <c r="A76" s="12" t="n"/>
      <c r="B76" s="12" t="n"/>
      <c r="C76" s="12" t="n"/>
      <c r="D76" s="12" t="n"/>
      <c r="E76" s="12" t="n"/>
    </row>
    <row r="77">
      <c r="A77" s="12" t="n"/>
      <c r="B77" s="12" t="n"/>
      <c r="C77" s="12" t="n"/>
      <c r="D77" s="12" t="n"/>
      <c r="E77" s="12" t="n"/>
    </row>
    <row r="78">
      <c r="A78" s="12" t="n"/>
      <c r="B78" s="12" t="n"/>
      <c r="C78" s="12" t="n"/>
      <c r="D78" s="12" t="n"/>
      <c r="E78" s="12" t="n"/>
    </row>
    <row r="79">
      <c r="A79" s="12" t="n"/>
      <c r="B79" s="12" t="n"/>
      <c r="C79" s="12" t="n"/>
      <c r="D79" s="12" t="n"/>
      <c r="E79" s="12" t="n"/>
    </row>
    <row r="80">
      <c r="A80" s="12" t="n"/>
      <c r="B80" s="12" t="n"/>
      <c r="C80" s="12" t="n"/>
      <c r="D80" s="12" t="n"/>
      <c r="E80" s="12" t="n"/>
    </row>
    <row r="81">
      <c r="A81" s="12" t="n"/>
      <c r="B81" s="12" t="n"/>
      <c r="C81" s="12" t="n"/>
      <c r="D81" s="12" t="n"/>
      <c r="E81" s="12" t="n"/>
    </row>
    <row r="82">
      <c r="A82" s="12" t="n"/>
      <c r="B82" s="12" t="n"/>
      <c r="C82" s="12" t="n"/>
      <c r="D82" s="12" t="n"/>
      <c r="E82" s="12" t="n"/>
    </row>
    <row r="83">
      <c r="A83" s="12" t="n"/>
      <c r="B83" s="12" t="n"/>
      <c r="C83" s="12" t="n"/>
      <c r="D83" s="12" t="n"/>
      <c r="E83" s="12" t="n"/>
    </row>
    <row r="84">
      <c r="A84" s="12" t="n"/>
      <c r="B84" s="12" t="n"/>
      <c r="C84" s="12" t="n"/>
      <c r="D84" s="12" t="n"/>
      <c r="E84" s="12" t="n"/>
    </row>
    <row r="85">
      <c r="A85" s="12" t="n"/>
      <c r="B85" s="12" t="n"/>
      <c r="C85" s="12" t="n"/>
      <c r="D85" s="12" t="n"/>
      <c r="E85" s="12" t="n"/>
    </row>
    <row r="86">
      <c r="A86" s="12" t="n"/>
      <c r="B86" s="12" t="n"/>
      <c r="C86" s="12" t="n"/>
      <c r="D86" s="12" t="n"/>
      <c r="E86" s="12" t="n"/>
    </row>
    <row r="87">
      <c r="A87" s="12" t="n"/>
      <c r="B87" s="12" t="n"/>
      <c r="C87" s="12" t="n"/>
      <c r="D87" s="12" t="n"/>
      <c r="E87" s="12" t="n"/>
    </row>
    <row r="88">
      <c r="A88" s="12" t="n"/>
      <c r="B88" s="12" t="n"/>
      <c r="C88" s="12" t="n"/>
      <c r="D88" s="12" t="n"/>
      <c r="E88" s="12" t="n"/>
    </row>
    <row r="89">
      <c r="A89" s="12" t="n"/>
      <c r="B89" s="12" t="n"/>
      <c r="C89" s="12" t="n"/>
      <c r="D89" s="12" t="n"/>
      <c r="E89" s="12" t="n"/>
    </row>
    <row r="90">
      <c r="A90" s="12" t="n"/>
      <c r="B90" s="12" t="n"/>
      <c r="C90" s="12" t="n"/>
      <c r="D90" s="12" t="n"/>
      <c r="E90" s="12" t="n"/>
    </row>
    <row r="91">
      <c r="A91" s="12" t="n"/>
      <c r="B91" s="12" t="n"/>
      <c r="C91" s="12" t="n"/>
      <c r="D91" s="12" t="n"/>
      <c r="E91" s="12" t="n"/>
    </row>
    <row r="92">
      <c r="A92" s="12" t="n"/>
      <c r="B92" s="12" t="n"/>
      <c r="C92" s="12" t="n"/>
      <c r="D92" s="12" t="n"/>
      <c r="E92" s="12" t="n"/>
    </row>
    <row r="93">
      <c r="A93" s="12" t="n"/>
      <c r="B93" s="12" t="n"/>
      <c r="C93" s="12" t="n"/>
      <c r="D93" s="12" t="n"/>
      <c r="E93" s="12" t="n"/>
    </row>
    <row r="94">
      <c r="A94" s="12" t="n"/>
      <c r="B94" s="12" t="n"/>
      <c r="C94" s="12" t="n"/>
      <c r="D94" s="12" t="n"/>
      <c r="E94" s="12" t="n"/>
    </row>
    <row r="95">
      <c r="A95" s="12" t="n"/>
      <c r="B95" s="12" t="n"/>
      <c r="C95" s="12" t="n"/>
      <c r="D95" s="12" t="n"/>
      <c r="E95" s="12" t="n"/>
    </row>
    <row r="96">
      <c r="A96" s="12" t="n"/>
      <c r="B96" s="12" t="n"/>
      <c r="C96" s="12" t="n"/>
      <c r="D96" s="12" t="n"/>
      <c r="E96" s="12" t="n"/>
    </row>
    <row r="97">
      <c r="A97" s="12" t="n"/>
      <c r="B97" s="12" t="n"/>
      <c r="C97" s="12" t="n"/>
      <c r="D97" s="12" t="n"/>
      <c r="E97" s="12" t="n"/>
    </row>
    <row r="98">
      <c r="A98" s="12" t="n"/>
      <c r="B98" s="12" t="n"/>
      <c r="C98" s="12" t="n"/>
      <c r="D98" s="12" t="n"/>
      <c r="E98" s="12" t="n"/>
    </row>
    <row r="99">
      <c r="A99" s="12" t="n"/>
      <c r="B99" s="12" t="n"/>
      <c r="C99" s="12" t="n"/>
      <c r="D99" s="12" t="n"/>
      <c r="E99" s="12" t="n"/>
    </row>
    <row r="100">
      <c r="A100" s="12" t="n"/>
      <c r="B100" s="12" t="n"/>
      <c r="C100" s="12" t="n"/>
      <c r="D100" s="12" t="n"/>
      <c r="E100" s="12" t="n"/>
    </row>
    <row r="101">
      <c r="A101" s="12" t="n"/>
      <c r="B101" s="12" t="n"/>
      <c r="C101" s="12" t="n"/>
      <c r="D101" s="12" t="n"/>
      <c r="E101" s="12" t="n"/>
    </row>
  </sheetData>
  <autoFilter ref="A1:E101"/>
  <conditionalFormatting sqref="A2:E101">
    <cfRule type="expression" priority="1" dxfId="6">
      <formula>$E2="Non"</formula>
    </cfRule>
  </conditionalFormatting>
  <dataValidations count="1">
    <dataValidation sqref="E2:E101" showErrorMessage="1" showInputMessage="1" allowBlank="1" errorTitle="Valeur non autorisée" error="Choisir « Oui » ou « Non »." promptTitle="Statut de l’intervenant" prompt="Indiquer si l’intervenant peut être proposé dans le planning." type="list">
      <formula1>"Oui,Non"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30" customWidth="1" min="3" max="3"/>
    <col width="22" customWidth="1" min="4" max="4"/>
    <col width="10" customWidth="1" min="5" max="5"/>
    <col width="14" customWidth="1" min="6" max="6"/>
    <col width="14" customWidth="1" min="7" max="7"/>
  </cols>
  <sheetData>
    <row r="1" ht="32" customHeight="1">
      <c r="A1" s="18" t="inlineStr">
        <is>
          <t>Clé</t>
        </is>
      </c>
      <c r="B1" s="18" t="inlineStr">
        <is>
          <t>ID chantier</t>
        </is>
      </c>
      <c r="C1" s="18" t="inlineStr">
        <is>
          <t>Chantier</t>
        </is>
      </c>
      <c r="D1" s="18" t="inlineStr">
        <is>
          <t>Zone</t>
        </is>
      </c>
      <c r="E1" s="18" t="inlineStr">
        <is>
          <t>Actif</t>
        </is>
      </c>
      <c r="F1" s="18" t="inlineStr">
        <is>
          <t>Date début</t>
        </is>
      </c>
      <c r="G1" s="18" t="inlineStr">
        <is>
          <t>Date fin</t>
        </is>
      </c>
    </row>
    <row r="2">
      <c r="A2" s="16">
        <f>IF(OR(B2="",D2=""),"",B2&amp;"|"&amp;D2)</f>
        <v/>
      </c>
      <c r="B2" s="12" t="inlineStr">
        <is>
          <t>DEMO-A</t>
        </is>
      </c>
      <c r="C2" s="12" t="inlineStr">
        <is>
          <t>Site Fictif Alpha</t>
        </is>
      </c>
      <c r="D2" s="12" t="inlineStr">
        <is>
          <t>Zone Nord</t>
        </is>
      </c>
      <c r="E2" s="12" t="inlineStr">
        <is>
          <t>Oui</t>
        </is>
      </c>
      <c r="F2" s="24" t="n">
        <v>46266</v>
      </c>
      <c r="G2" s="24" t="n">
        <v>46295</v>
      </c>
    </row>
    <row r="3">
      <c r="A3" s="16">
        <f>IF(OR(B3="",D3=""),"",B3&amp;"|"&amp;D3)</f>
        <v/>
      </c>
      <c r="B3" s="12" t="inlineStr">
        <is>
          <t>DEMO-A</t>
        </is>
      </c>
      <c r="C3" s="12" t="inlineStr">
        <is>
          <t>Site Fictif Alpha</t>
        </is>
      </c>
      <c r="D3" s="12" t="inlineStr">
        <is>
          <t>Zone Sud</t>
        </is>
      </c>
      <c r="E3" s="12" t="inlineStr">
        <is>
          <t>Oui</t>
        </is>
      </c>
      <c r="F3" s="24" t="n">
        <v>46266</v>
      </c>
      <c r="G3" s="24" t="n">
        <v>46295</v>
      </c>
    </row>
    <row r="4">
      <c r="A4" s="16">
        <f>IF(OR(B4="",D4=""),"",B4&amp;"|"&amp;D4)</f>
        <v/>
      </c>
      <c r="B4" s="12" t="inlineStr">
        <is>
          <t>DEMO-B</t>
        </is>
      </c>
      <c r="C4" s="12" t="inlineStr">
        <is>
          <t>Site Fictif Bêta</t>
        </is>
      </c>
      <c r="D4" s="12" t="inlineStr">
        <is>
          <t>Niveau 1</t>
        </is>
      </c>
      <c r="E4" s="12" t="inlineStr">
        <is>
          <t>Oui</t>
        </is>
      </c>
      <c r="F4" s="24" t="n">
        <v>46266</v>
      </c>
      <c r="G4" s="24" t="n">
        <v>46310</v>
      </c>
    </row>
    <row r="5">
      <c r="A5" s="16">
        <f>IF(OR(B5="",D5=""),"",B5&amp;"|"&amp;D5)</f>
        <v/>
      </c>
      <c r="B5" s="12" t="inlineStr">
        <is>
          <t>DEMO-B</t>
        </is>
      </c>
      <c r="C5" s="12" t="inlineStr">
        <is>
          <t>Site Fictif Bêta</t>
        </is>
      </c>
      <c r="D5" s="12" t="inlineStr">
        <is>
          <t>Niveau 2</t>
        </is>
      </c>
      <c r="E5" s="12" t="inlineStr">
        <is>
          <t>Oui</t>
        </is>
      </c>
      <c r="F5" s="24" t="n">
        <v>46266</v>
      </c>
      <c r="G5" s="24" t="n">
        <v>46310</v>
      </c>
    </row>
    <row r="6">
      <c r="A6" s="16">
        <f>IF(OR(B6="",D6=""),"",B6&amp;"|"&amp;D6)</f>
        <v/>
      </c>
      <c r="B6" s="12" t="inlineStr">
        <is>
          <t>DEMO-C</t>
        </is>
      </c>
      <c r="C6" s="12" t="inlineStr">
        <is>
          <t>Ouvrage Imaginaire Gamma</t>
        </is>
      </c>
      <c r="D6" s="12" t="inlineStr">
        <is>
          <t>Secteur Est</t>
        </is>
      </c>
      <c r="E6" s="12" t="inlineStr">
        <is>
          <t>Oui</t>
        </is>
      </c>
      <c r="F6" s="24" t="n">
        <v>46279</v>
      </c>
      <c r="G6" s="24" t="n">
        <v>46356</v>
      </c>
    </row>
    <row r="7">
      <c r="A7" s="16">
        <f>IF(OR(B7="",D7=""),"",B7&amp;"|"&amp;D7)</f>
        <v/>
      </c>
      <c r="B7" s="12" t="inlineStr">
        <is>
          <t>DEMO-C</t>
        </is>
      </c>
      <c r="C7" s="12" t="inlineStr">
        <is>
          <t>Ouvrage Imaginaire Gamma</t>
        </is>
      </c>
      <c r="D7" s="12" t="inlineStr">
        <is>
          <t>Secteur Ouest</t>
        </is>
      </c>
      <c r="E7" s="12" t="inlineStr">
        <is>
          <t>Oui</t>
        </is>
      </c>
      <c r="F7" s="24" t="n">
        <v>46279</v>
      </c>
      <c r="G7" s="24" t="n">
        <v>46356</v>
      </c>
    </row>
    <row r="8">
      <c r="A8" s="16">
        <f>IF(OR(B8="",D8=""),"",B8&amp;"|"&amp;D8)</f>
        <v/>
      </c>
      <c r="B8" s="12" t="inlineStr">
        <is>
          <t>DEMO-D</t>
        </is>
      </c>
      <c r="C8" s="12" t="inlineStr">
        <is>
          <t>Pavillon Démonstration Delta</t>
        </is>
      </c>
      <c r="D8" s="12" t="inlineStr">
        <is>
          <t>Rez-de-chaussée</t>
        </is>
      </c>
      <c r="E8" s="12" t="inlineStr">
        <is>
          <t>Oui</t>
        </is>
      </c>
      <c r="F8" s="24" t="n">
        <v>46296</v>
      </c>
      <c r="G8" s="24" t="n">
        <v>46374</v>
      </c>
    </row>
    <row r="9">
      <c r="A9" s="16">
        <f>IF(OR(B9="",D9=""),"",B9&amp;"|"&amp;D9)</f>
        <v/>
      </c>
      <c r="B9" s="12" t="inlineStr">
        <is>
          <t>DEMO-D</t>
        </is>
      </c>
      <c r="C9" s="12" t="inlineStr">
        <is>
          <t>Pavillon Démonstration Delta</t>
        </is>
      </c>
      <c r="D9" s="12" t="inlineStr">
        <is>
          <t>Étage fictif</t>
        </is>
      </c>
      <c r="E9" s="12" t="inlineStr">
        <is>
          <t>Oui</t>
        </is>
      </c>
      <c r="F9" s="24" t="n">
        <v>46296</v>
      </c>
      <c r="G9" s="24" t="n">
        <v>46374</v>
      </c>
    </row>
    <row r="10">
      <c r="A10" s="16">
        <f>IF(OR(B10="",D10=""),"",B10&amp;"|"&amp;D10)</f>
        <v/>
      </c>
      <c r="B10" s="12" t="inlineStr">
        <is>
          <t>DEMO-E</t>
        </is>
      </c>
      <c r="C10" s="12" t="inlineStr">
        <is>
          <t>Base École Fictive Épsilon</t>
        </is>
      </c>
      <c r="D10" s="12" t="inlineStr">
        <is>
          <t>Atelier démo</t>
        </is>
      </c>
      <c r="E10" s="12" t="inlineStr">
        <is>
          <t>Non</t>
        </is>
      </c>
      <c r="F10" s="24" t="n">
        <v>46235</v>
      </c>
      <c r="G10" s="24" t="n">
        <v>46265</v>
      </c>
    </row>
    <row r="11">
      <c r="A11" s="16">
        <f>IF(OR(B11="",D11=""),"",B11&amp;"|"&amp;D11)</f>
        <v/>
      </c>
      <c r="B11" s="12" t="inlineStr">
        <is>
          <t>DEMO-E</t>
        </is>
      </c>
      <c r="C11" s="12" t="inlineStr">
        <is>
          <t>Base École Fictive Épsilon</t>
        </is>
      </c>
      <c r="D11" s="12" t="inlineStr">
        <is>
          <t>Cour démo</t>
        </is>
      </c>
      <c r="E11" s="12" t="inlineStr">
        <is>
          <t>Non</t>
        </is>
      </c>
      <c r="F11" s="24" t="n">
        <v>46235</v>
      </c>
      <c r="G11" s="24" t="n">
        <v>46265</v>
      </c>
    </row>
    <row r="12">
      <c r="A12" s="16">
        <f>IF(OR(B12="",D12=""),"",B12&amp;"|"&amp;D12)</f>
        <v/>
      </c>
      <c r="B12" s="12" t="n"/>
      <c r="C12" s="12" t="n"/>
      <c r="D12" s="12" t="n"/>
      <c r="E12" s="12" t="n"/>
      <c r="F12" s="24" t="n"/>
      <c r="G12" s="24" t="n"/>
    </row>
    <row r="13">
      <c r="A13" s="16">
        <f>IF(OR(B13="",D13=""),"",B13&amp;"|"&amp;D13)</f>
        <v/>
      </c>
      <c r="B13" s="12" t="n"/>
      <c r="C13" s="12" t="n"/>
      <c r="D13" s="12" t="n"/>
      <c r="E13" s="12" t="n"/>
      <c r="F13" s="24" t="n"/>
      <c r="G13" s="24" t="n"/>
    </row>
    <row r="14">
      <c r="A14" s="16">
        <f>IF(OR(B14="",D14=""),"",B14&amp;"|"&amp;D14)</f>
        <v/>
      </c>
      <c r="B14" s="12" t="n"/>
      <c r="C14" s="12" t="n"/>
      <c r="D14" s="12" t="n"/>
      <c r="E14" s="12" t="n"/>
      <c r="F14" s="24" t="n"/>
      <c r="G14" s="24" t="n"/>
    </row>
    <row r="15">
      <c r="A15" s="16">
        <f>IF(OR(B15="",D15=""),"",B15&amp;"|"&amp;D15)</f>
        <v/>
      </c>
      <c r="B15" s="12" t="n"/>
      <c r="C15" s="12" t="n"/>
      <c r="D15" s="12" t="n"/>
      <c r="E15" s="12" t="n"/>
      <c r="F15" s="24" t="n"/>
      <c r="G15" s="24" t="n"/>
    </row>
    <row r="16">
      <c r="A16" s="16">
        <f>IF(OR(B16="",D16=""),"",B16&amp;"|"&amp;D16)</f>
        <v/>
      </c>
      <c r="B16" s="12" t="n"/>
      <c r="C16" s="12" t="n"/>
      <c r="D16" s="12" t="n"/>
      <c r="E16" s="12" t="n"/>
      <c r="F16" s="24" t="n"/>
      <c r="G16" s="24" t="n"/>
    </row>
    <row r="17">
      <c r="A17" s="16">
        <f>IF(OR(B17="",D17=""),"",B17&amp;"|"&amp;D17)</f>
        <v/>
      </c>
      <c r="B17" s="12" t="n"/>
      <c r="C17" s="12" t="n"/>
      <c r="D17" s="12" t="n"/>
      <c r="E17" s="12" t="n"/>
      <c r="F17" s="24" t="n"/>
      <c r="G17" s="24" t="n"/>
    </row>
    <row r="18">
      <c r="A18" s="16">
        <f>IF(OR(B18="",D18=""),"",B18&amp;"|"&amp;D18)</f>
        <v/>
      </c>
      <c r="B18" s="12" t="n"/>
      <c r="C18" s="12" t="n"/>
      <c r="D18" s="12" t="n"/>
      <c r="E18" s="12" t="n"/>
      <c r="F18" s="24" t="n"/>
      <c r="G18" s="24" t="n"/>
    </row>
    <row r="19">
      <c r="A19" s="16">
        <f>IF(OR(B19="",D19=""),"",B19&amp;"|"&amp;D19)</f>
        <v/>
      </c>
      <c r="B19" s="12" t="n"/>
      <c r="C19" s="12" t="n"/>
      <c r="D19" s="12" t="n"/>
      <c r="E19" s="12" t="n"/>
      <c r="F19" s="24" t="n"/>
      <c r="G19" s="24" t="n"/>
    </row>
    <row r="20">
      <c r="A20" s="16">
        <f>IF(OR(B20="",D20=""),"",B20&amp;"|"&amp;D20)</f>
        <v/>
      </c>
      <c r="B20" s="12" t="n"/>
      <c r="C20" s="12" t="n"/>
      <c r="D20" s="12" t="n"/>
      <c r="E20" s="12" t="n"/>
      <c r="F20" s="24" t="n"/>
      <c r="G20" s="24" t="n"/>
    </row>
    <row r="21">
      <c r="A21" s="16">
        <f>IF(OR(B21="",D21=""),"",B21&amp;"|"&amp;D21)</f>
        <v/>
      </c>
      <c r="B21" s="12" t="n"/>
      <c r="C21" s="12" t="n"/>
      <c r="D21" s="12" t="n"/>
      <c r="E21" s="12" t="n"/>
      <c r="F21" s="24" t="n"/>
      <c r="G21" s="24" t="n"/>
    </row>
    <row r="22">
      <c r="A22" s="16">
        <f>IF(OR(B22="",D22=""),"",B22&amp;"|"&amp;D22)</f>
        <v/>
      </c>
      <c r="B22" s="12" t="n"/>
      <c r="C22" s="12" t="n"/>
      <c r="D22" s="12" t="n"/>
      <c r="E22" s="12" t="n"/>
      <c r="F22" s="24" t="n"/>
      <c r="G22" s="24" t="n"/>
    </row>
    <row r="23">
      <c r="A23" s="16">
        <f>IF(OR(B23="",D23=""),"",B23&amp;"|"&amp;D23)</f>
        <v/>
      </c>
      <c r="B23" s="12" t="n"/>
      <c r="C23" s="12" t="n"/>
      <c r="D23" s="12" t="n"/>
      <c r="E23" s="12" t="n"/>
      <c r="F23" s="24" t="n"/>
      <c r="G23" s="24" t="n"/>
    </row>
    <row r="24">
      <c r="A24" s="16">
        <f>IF(OR(B24="",D24=""),"",B24&amp;"|"&amp;D24)</f>
        <v/>
      </c>
      <c r="B24" s="12" t="n"/>
      <c r="C24" s="12" t="n"/>
      <c r="D24" s="12" t="n"/>
      <c r="E24" s="12" t="n"/>
      <c r="F24" s="24" t="n"/>
      <c r="G24" s="24" t="n"/>
    </row>
    <row r="25">
      <c r="A25" s="16">
        <f>IF(OR(B25="",D25=""),"",B25&amp;"|"&amp;D25)</f>
        <v/>
      </c>
      <c r="B25" s="12" t="n"/>
      <c r="C25" s="12" t="n"/>
      <c r="D25" s="12" t="n"/>
      <c r="E25" s="12" t="n"/>
      <c r="F25" s="24" t="n"/>
      <c r="G25" s="24" t="n"/>
    </row>
    <row r="26">
      <c r="A26" s="16">
        <f>IF(OR(B26="",D26=""),"",B26&amp;"|"&amp;D26)</f>
        <v/>
      </c>
      <c r="B26" s="12" t="n"/>
      <c r="C26" s="12" t="n"/>
      <c r="D26" s="12" t="n"/>
      <c r="E26" s="12" t="n"/>
      <c r="F26" s="24" t="n"/>
      <c r="G26" s="24" t="n"/>
    </row>
    <row r="27">
      <c r="A27" s="16">
        <f>IF(OR(B27="",D27=""),"",B27&amp;"|"&amp;D27)</f>
        <v/>
      </c>
      <c r="B27" s="12" t="n"/>
      <c r="C27" s="12" t="n"/>
      <c r="D27" s="12" t="n"/>
      <c r="E27" s="12" t="n"/>
      <c r="F27" s="24" t="n"/>
      <c r="G27" s="24" t="n"/>
    </row>
    <row r="28">
      <c r="A28" s="16">
        <f>IF(OR(B28="",D28=""),"",B28&amp;"|"&amp;D28)</f>
        <v/>
      </c>
      <c r="B28" s="12" t="n"/>
      <c r="C28" s="12" t="n"/>
      <c r="D28" s="12" t="n"/>
      <c r="E28" s="12" t="n"/>
      <c r="F28" s="24" t="n"/>
      <c r="G28" s="24" t="n"/>
    </row>
    <row r="29">
      <c r="A29" s="16">
        <f>IF(OR(B29="",D29=""),"",B29&amp;"|"&amp;D29)</f>
        <v/>
      </c>
      <c r="B29" s="12" t="n"/>
      <c r="C29" s="12" t="n"/>
      <c r="D29" s="12" t="n"/>
      <c r="E29" s="12" t="n"/>
      <c r="F29" s="24" t="n"/>
      <c r="G29" s="24" t="n"/>
    </row>
    <row r="30">
      <c r="A30" s="16">
        <f>IF(OR(B30="",D30=""),"",B30&amp;"|"&amp;D30)</f>
        <v/>
      </c>
      <c r="B30" s="12" t="n"/>
      <c r="C30" s="12" t="n"/>
      <c r="D30" s="12" t="n"/>
      <c r="E30" s="12" t="n"/>
      <c r="F30" s="24" t="n"/>
      <c r="G30" s="24" t="n"/>
    </row>
    <row r="31">
      <c r="A31" s="16">
        <f>IF(OR(B31="",D31=""),"",B31&amp;"|"&amp;D31)</f>
        <v/>
      </c>
      <c r="B31" s="12" t="n"/>
      <c r="C31" s="12" t="n"/>
      <c r="D31" s="12" t="n"/>
      <c r="E31" s="12" t="n"/>
      <c r="F31" s="24" t="n"/>
      <c r="G31" s="24" t="n"/>
    </row>
    <row r="32">
      <c r="A32" s="16">
        <f>IF(OR(B32="",D32=""),"",B32&amp;"|"&amp;D32)</f>
        <v/>
      </c>
      <c r="B32" s="12" t="n"/>
      <c r="C32" s="12" t="n"/>
      <c r="D32" s="12" t="n"/>
      <c r="E32" s="12" t="n"/>
      <c r="F32" s="24" t="n"/>
      <c r="G32" s="24" t="n"/>
    </row>
    <row r="33">
      <c r="A33" s="16">
        <f>IF(OR(B33="",D33=""),"",B33&amp;"|"&amp;D33)</f>
        <v/>
      </c>
      <c r="B33" s="12" t="n"/>
      <c r="C33" s="12" t="n"/>
      <c r="D33" s="12" t="n"/>
      <c r="E33" s="12" t="n"/>
      <c r="F33" s="24" t="n"/>
      <c r="G33" s="24" t="n"/>
    </row>
    <row r="34">
      <c r="A34" s="16">
        <f>IF(OR(B34="",D34=""),"",B34&amp;"|"&amp;D34)</f>
        <v/>
      </c>
      <c r="B34" s="12" t="n"/>
      <c r="C34" s="12" t="n"/>
      <c r="D34" s="12" t="n"/>
      <c r="E34" s="12" t="n"/>
      <c r="F34" s="24" t="n"/>
      <c r="G34" s="24" t="n"/>
    </row>
    <row r="35">
      <c r="A35" s="16">
        <f>IF(OR(B35="",D35=""),"",B35&amp;"|"&amp;D35)</f>
        <v/>
      </c>
      <c r="B35" s="12" t="n"/>
      <c r="C35" s="12" t="n"/>
      <c r="D35" s="12" t="n"/>
      <c r="E35" s="12" t="n"/>
      <c r="F35" s="24" t="n"/>
      <c r="G35" s="24" t="n"/>
    </row>
    <row r="36">
      <c r="A36" s="16">
        <f>IF(OR(B36="",D36=""),"",B36&amp;"|"&amp;D36)</f>
        <v/>
      </c>
      <c r="B36" s="12" t="n"/>
      <c r="C36" s="12" t="n"/>
      <c r="D36" s="12" t="n"/>
      <c r="E36" s="12" t="n"/>
      <c r="F36" s="24" t="n"/>
      <c r="G36" s="24" t="n"/>
    </row>
    <row r="37">
      <c r="A37" s="16">
        <f>IF(OR(B37="",D37=""),"",B37&amp;"|"&amp;D37)</f>
        <v/>
      </c>
      <c r="B37" s="12" t="n"/>
      <c r="C37" s="12" t="n"/>
      <c r="D37" s="12" t="n"/>
      <c r="E37" s="12" t="n"/>
      <c r="F37" s="24" t="n"/>
      <c r="G37" s="24" t="n"/>
    </row>
    <row r="38">
      <c r="A38" s="16">
        <f>IF(OR(B38="",D38=""),"",B38&amp;"|"&amp;D38)</f>
        <v/>
      </c>
      <c r="B38" s="12" t="n"/>
      <c r="C38" s="12" t="n"/>
      <c r="D38" s="12" t="n"/>
      <c r="E38" s="12" t="n"/>
      <c r="F38" s="24" t="n"/>
      <c r="G38" s="24" t="n"/>
    </row>
    <row r="39">
      <c r="A39" s="16">
        <f>IF(OR(B39="",D39=""),"",B39&amp;"|"&amp;D39)</f>
        <v/>
      </c>
      <c r="B39" s="12" t="n"/>
      <c r="C39" s="12" t="n"/>
      <c r="D39" s="12" t="n"/>
      <c r="E39" s="12" t="n"/>
      <c r="F39" s="24" t="n"/>
      <c r="G39" s="24" t="n"/>
    </row>
    <row r="40">
      <c r="A40" s="16">
        <f>IF(OR(B40="",D40=""),"",B40&amp;"|"&amp;D40)</f>
        <v/>
      </c>
      <c r="B40" s="12" t="n"/>
      <c r="C40" s="12" t="n"/>
      <c r="D40" s="12" t="n"/>
      <c r="E40" s="12" t="n"/>
      <c r="F40" s="24" t="n"/>
      <c r="G40" s="24" t="n"/>
    </row>
    <row r="41">
      <c r="A41" s="16">
        <f>IF(OR(B41="",D41=""),"",B41&amp;"|"&amp;D41)</f>
        <v/>
      </c>
      <c r="B41" s="12" t="n"/>
      <c r="C41" s="12" t="n"/>
      <c r="D41" s="12" t="n"/>
      <c r="E41" s="12" t="n"/>
      <c r="F41" s="24" t="n"/>
      <c r="G41" s="24" t="n"/>
    </row>
    <row r="42">
      <c r="A42" s="16">
        <f>IF(OR(B42="",D42=""),"",B42&amp;"|"&amp;D42)</f>
        <v/>
      </c>
      <c r="B42" s="12" t="n"/>
      <c r="C42" s="12" t="n"/>
      <c r="D42" s="12" t="n"/>
      <c r="E42" s="12" t="n"/>
      <c r="F42" s="24" t="n"/>
      <c r="G42" s="24" t="n"/>
    </row>
    <row r="43">
      <c r="A43" s="16">
        <f>IF(OR(B43="",D43=""),"",B43&amp;"|"&amp;D43)</f>
        <v/>
      </c>
      <c r="B43" s="12" t="n"/>
      <c r="C43" s="12" t="n"/>
      <c r="D43" s="12" t="n"/>
      <c r="E43" s="12" t="n"/>
      <c r="F43" s="24" t="n"/>
      <c r="G43" s="24" t="n"/>
    </row>
    <row r="44">
      <c r="A44" s="16">
        <f>IF(OR(B44="",D44=""),"",B44&amp;"|"&amp;D44)</f>
        <v/>
      </c>
      <c r="B44" s="12" t="n"/>
      <c r="C44" s="12" t="n"/>
      <c r="D44" s="12" t="n"/>
      <c r="E44" s="12" t="n"/>
      <c r="F44" s="24" t="n"/>
      <c r="G44" s="24" t="n"/>
    </row>
    <row r="45">
      <c r="A45" s="16">
        <f>IF(OR(B45="",D45=""),"",B45&amp;"|"&amp;D45)</f>
        <v/>
      </c>
      <c r="B45" s="12" t="n"/>
      <c r="C45" s="12" t="n"/>
      <c r="D45" s="12" t="n"/>
      <c r="E45" s="12" t="n"/>
      <c r="F45" s="24" t="n"/>
      <c r="G45" s="24" t="n"/>
    </row>
    <row r="46">
      <c r="A46" s="16">
        <f>IF(OR(B46="",D46=""),"",B46&amp;"|"&amp;D46)</f>
        <v/>
      </c>
      <c r="B46" s="12" t="n"/>
      <c r="C46" s="12" t="n"/>
      <c r="D46" s="12" t="n"/>
      <c r="E46" s="12" t="n"/>
      <c r="F46" s="24" t="n"/>
      <c r="G46" s="24" t="n"/>
    </row>
    <row r="47">
      <c r="A47" s="16">
        <f>IF(OR(B47="",D47=""),"",B47&amp;"|"&amp;D47)</f>
        <v/>
      </c>
      <c r="B47" s="12" t="n"/>
      <c r="C47" s="12" t="n"/>
      <c r="D47" s="12" t="n"/>
      <c r="E47" s="12" t="n"/>
      <c r="F47" s="24" t="n"/>
      <c r="G47" s="24" t="n"/>
    </row>
    <row r="48">
      <c r="A48" s="16">
        <f>IF(OR(B48="",D48=""),"",B48&amp;"|"&amp;D48)</f>
        <v/>
      </c>
      <c r="B48" s="12" t="n"/>
      <c r="C48" s="12" t="n"/>
      <c r="D48" s="12" t="n"/>
      <c r="E48" s="12" t="n"/>
      <c r="F48" s="24" t="n"/>
      <c r="G48" s="24" t="n"/>
    </row>
    <row r="49">
      <c r="A49" s="16">
        <f>IF(OR(B49="",D49=""),"",B49&amp;"|"&amp;D49)</f>
        <v/>
      </c>
      <c r="B49" s="12" t="n"/>
      <c r="C49" s="12" t="n"/>
      <c r="D49" s="12" t="n"/>
      <c r="E49" s="12" t="n"/>
      <c r="F49" s="24" t="n"/>
      <c r="G49" s="24" t="n"/>
    </row>
    <row r="50">
      <c r="A50" s="16">
        <f>IF(OR(B50="",D50=""),"",B50&amp;"|"&amp;D50)</f>
        <v/>
      </c>
      <c r="B50" s="12" t="n"/>
      <c r="C50" s="12" t="n"/>
      <c r="D50" s="12" t="n"/>
      <c r="E50" s="12" t="n"/>
      <c r="F50" s="24" t="n"/>
      <c r="G50" s="24" t="n"/>
    </row>
    <row r="51">
      <c r="A51" s="16">
        <f>IF(OR(B51="",D51=""),"",B51&amp;"|"&amp;D51)</f>
        <v/>
      </c>
      <c r="B51" s="12" t="n"/>
      <c r="C51" s="12" t="n"/>
      <c r="D51" s="12" t="n"/>
      <c r="E51" s="12" t="n"/>
      <c r="F51" s="24" t="n"/>
      <c r="G51" s="24" t="n"/>
    </row>
    <row r="52">
      <c r="A52" s="16">
        <f>IF(OR(B52="",D52=""),"",B52&amp;"|"&amp;D52)</f>
        <v/>
      </c>
      <c r="B52" s="12" t="n"/>
      <c r="C52" s="12" t="n"/>
      <c r="D52" s="12" t="n"/>
      <c r="E52" s="12" t="n"/>
      <c r="F52" s="24" t="n"/>
      <c r="G52" s="24" t="n"/>
    </row>
    <row r="53">
      <c r="A53" s="16">
        <f>IF(OR(B53="",D53=""),"",B53&amp;"|"&amp;D53)</f>
        <v/>
      </c>
      <c r="B53" s="12" t="n"/>
      <c r="C53" s="12" t="n"/>
      <c r="D53" s="12" t="n"/>
      <c r="E53" s="12" t="n"/>
      <c r="F53" s="24" t="n"/>
      <c r="G53" s="24" t="n"/>
    </row>
    <row r="54">
      <c r="A54" s="16">
        <f>IF(OR(B54="",D54=""),"",B54&amp;"|"&amp;D54)</f>
        <v/>
      </c>
      <c r="B54" s="12" t="n"/>
      <c r="C54" s="12" t="n"/>
      <c r="D54" s="12" t="n"/>
      <c r="E54" s="12" t="n"/>
      <c r="F54" s="24" t="n"/>
      <c r="G54" s="24" t="n"/>
    </row>
    <row r="55">
      <c r="A55" s="16">
        <f>IF(OR(B55="",D55=""),"",B55&amp;"|"&amp;D55)</f>
        <v/>
      </c>
      <c r="B55" s="12" t="n"/>
      <c r="C55" s="12" t="n"/>
      <c r="D55" s="12" t="n"/>
      <c r="E55" s="12" t="n"/>
      <c r="F55" s="24" t="n"/>
      <c r="G55" s="24" t="n"/>
    </row>
    <row r="56">
      <c r="A56" s="16">
        <f>IF(OR(B56="",D56=""),"",B56&amp;"|"&amp;D56)</f>
        <v/>
      </c>
      <c r="B56" s="12" t="n"/>
      <c r="C56" s="12" t="n"/>
      <c r="D56" s="12" t="n"/>
      <c r="E56" s="12" t="n"/>
      <c r="F56" s="24" t="n"/>
      <c r="G56" s="24" t="n"/>
    </row>
    <row r="57">
      <c r="A57" s="16">
        <f>IF(OR(B57="",D57=""),"",B57&amp;"|"&amp;D57)</f>
        <v/>
      </c>
      <c r="B57" s="12" t="n"/>
      <c r="C57" s="12" t="n"/>
      <c r="D57" s="12" t="n"/>
      <c r="E57" s="12" t="n"/>
      <c r="F57" s="24" t="n"/>
      <c r="G57" s="24" t="n"/>
    </row>
    <row r="58">
      <c r="A58" s="16">
        <f>IF(OR(B58="",D58=""),"",B58&amp;"|"&amp;D58)</f>
        <v/>
      </c>
      <c r="B58" s="12" t="n"/>
      <c r="C58" s="12" t="n"/>
      <c r="D58" s="12" t="n"/>
      <c r="E58" s="12" t="n"/>
      <c r="F58" s="24" t="n"/>
      <c r="G58" s="24" t="n"/>
    </row>
    <row r="59">
      <c r="A59" s="16">
        <f>IF(OR(B59="",D59=""),"",B59&amp;"|"&amp;D59)</f>
        <v/>
      </c>
      <c r="B59" s="12" t="n"/>
      <c r="C59" s="12" t="n"/>
      <c r="D59" s="12" t="n"/>
      <c r="E59" s="12" t="n"/>
      <c r="F59" s="24" t="n"/>
      <c r="G59" s="24" t="n"/>
    </row>
    <row r="60">
      <c r="A60" s="16">
        <f>IF(OR(B60="",D60=""),"",B60&amp;"|"&amp;D60)</f>
        <v/>
      </c>
      <c r="B60" s="12" t="n"/>
      <c r="C60" s="12" t="n"/>
      <c r="D60" s="12" t="n"/>
      <c r="E60" s="12" t="n"/>
      <c r="F60" s="24" t="n"/>
      <c r="G60" s="24" t="n"/>
    </row>
    <row r="61">
      <c r="A61" s="16">
        <f>IF(OR(B61="",D61=""),"",B61&amp;"|"&amp;D61)</f>
        <v/>
      </c>
      <c r="B61" s="12" t="n"/>
      <c r="C61" s="12" t="n"/>
      <c r="D61" s="12" t="n"/>
      <c r="E61" s="12" t="n"/>
      <c r="F61" s="24" t="n"/>
      <c r="G61" s="24" t="n"/>
    </row>
    <row r="62">
      <c r="A62" s="16">
        <f>IF(OR(B62="",D62=""),"",B62&amp;"|"&amp;D62)</f>
        <v/>
      </c>
      <c r="B62" s="12" t="n"/>
      <c r="C62" s="12" t="n"/>
      <c r="D62" s="12" t="n"/>
      <c r="E62" s="12" t="n"/>
      <c r="F62" s="24" t="n"/>
      <c r="G62" s="24" t="n"/>
    </row>
    <row r="63">
      <c r="A63" s="16">
        <f>IF(OR(B63="",D63=""),"",B63&amp;"|"&amp;D63)</f>
        <v/>
      </c>
      <c r="B63" s="12" t="n"/>
      <c r="C63" s="12" t="n"/>
      <c r="D63" s="12" t="n"/>
      <c r="E63" s="12" t="n"/>
      <c r="F63" s="24" t="n"/>
      <c r="G63" s="24" t="n"/>
    </row>
    <row r="64">
      <c r="A64" s="16">
        <f>IF(OR(B64="",D64=""),"",B64&amp;"|"&amp;D64)</f>
        <v/>
      </c>
      <c r="B64" s="12" t="n"/>
      <c r="C64" s="12" t="n"/>
      <c r="D64" s="12" t="n"/>
      <c r="E64" s="12" t="n"/>
      <c r="F64" s="24" t="n"/>
      <c r="G64" s="24" t="n"/>
    </row>
    <row r="65">
      <c r="A65" s="16">
        <f>IF(OR(B65="",D65=""),"",B65&amp;"|"&amp;D65)</f>
        <v/>
      </c>
      <c r="B65" s="12" t="n"/>
      <c r="C65" s="12" t="n"/>
      <c r="D65" s="12" t="n"/>
      <c r="E65" s="12" t="n"/>
      <c r="F65" s="24" t="n"/>
      <c r="G65" s="24" t="n"/>
    </row>
    <row r="66">
      <c r="A66" s="16">
        <f>IF(OR(B66="",D66=""),"",B66&amp;"|"&amp;D66)</f>
        <v/>
      </c>
      <c r="B66" s="12" t="n"/>
      <c r="C66" s="12" t="n"/>
      <c r="D66" s="12" t="n"/>
      <c r="E66" s="12" t="n"/>
      <c r="F66" s="24" t="n"/>
      <c r="G66" s="24" t="n"/>
    </row>
    <row r="67">
      <c r="A67" s="16">
        <f>IF(OR(B67="",D67=""),"",B67&amp;"|"&amp;D67)</f>
        <v/>
      </c>
      <c r="B67" s="12" t="n"/>
      <c r="C67" s="12" t="n"/>
      <c r="D67" s="12" t="n"/>
      <c r="E67" s="12" t="n"/>
      <c r="F67" s="24" t="n"/>
      <c r="G67" s="24" t="n"/>
    </row>
    <row r="68">
      <c r="A68" s="16">
        <f>IF(OR(B68="",D68=""),"",B68&amp;"|"&amp;D68)</f>
        <v/>
      </c>
      <c r="B68" s="12" t="n"/>
      <c r="C68" s="12" t="n"/>
      <c r="D68" s="12" t="n"/>
      <c r="E68" s="12" t="n"/>
      <c r="F68" s="24" t="n"/>
      <c r="G68" s="24" t="n"/>
    </row>
    <row r="69">
      <c r="A69" s="16">
        <f>IF(OR(B69="",D69=""),"",B69&amp;"|"&amp;D69)</f>
        <v/>
      </c>
      <c r="B69" s="12" t="n"/>
      <c r="C69" s="12" t="n"/>
      <c r="D69" s="12" t="n"/>
      <c r="E69" s="12" t="n"/>
      <c r="F69" s="24" t="n"/>
      <c r="G69" s="24" t="n"/>
    </row>
    <row r="70">
      <c r="A70" s="16">
        <f>IF(OR(B70="",D70=""),"",B70&amp;"|"&amp;D70)</f>
        <v/>
      </c>
      <c r="B70" s="12" t="n"/>
      <c r="C70" s="12" t="n"/>
      <c r="D70" s="12" t="n"/>
      <c r="E70" s="12" t="n"/>
      <c r="F70" s="24" t="n"/>
      <c r="G70" s="24" t="n"/>
    </row>
    <row r="71">
      <c r="A71" s="16">
        <f>IF(OR(B71="",D71=""),"",B71&amp;"|"&amp;D71)</f>
        <v/>
      </c>
      <c r="B71" s="12" t="n"/>
      <c r="C71" s="12" t="n"/>
      <c r="D71" s="12" t="n"/>
      <c r="E71" s="12" t="n"/>
      <c r="F71" s="24" t="n"/>
      <c r="G71" s="24" t="n"/>
    </row>
    <row r="72">
      <c r="A72" s="16">
        <f>IF(OR(B72="",D72=""),"",B72&amp;"|"&amp;D72)</f>
        <v/>
      </c>
      <c r="B72" s="12" t="n"/>
      <c r="C72" s="12" t="n"/>
      <c r="D72" s="12" t="n"/>
      <c r="E72" s="12" t="n"/>
      <c r="F72" s="24" t="n"/>
      <c r="G72" s="24" t="n"/>
    </row>
    <row r="73">
      <c r="A73" s="16">
        <f>IF(OR(B73="",D73=""),"",B73&amp;"|"&amp;D73)</f>
        <v/>
      </c>
      <c r="B73" s="12" t="n"/>
      <c r="C73" s="12" t="n"/>
      <c r="D73" s="12" t="n"/>
      <c r="E73" s="12" t="n"/>
      <c r="F73" s="24" t="n"/>
      <c r="G73" s="24" t="n"/>
    </row>
    <row r="74">
      <c r="A74" s="16">
        <f>IF(OR(B74="",D74=""),"",B74&amp;"|"&amp;D74)</f>
        <v/>
      </c>
      <c r="B74" s="12" t="n"/>
      <c r="C74" s="12" t="n"/>
      <c r="D74" s="12" t="n"/>
      <c r="E74" s="12" t="n"/>
      <c r="F74" s="24" t="n"/>
      <c r="G74" s="24" t="n"/>
    </row>
    <row r="75">
      <c r="A75" s="16">
        <f>IF(OR(B75="",D75=""),"",B75&amp;"|"&amp;D75)</f>
        <v/>
      </c>
      <c r="B75" s="12" t="n"/>
      <c r="C75" s="12" t="n"/>
      <c r="D75" s="12" t="n"/>
      <c r="E75" s="12" t="n"/>
      <c r="F75" s="24" t="n"/>
      <c r="G75" s="24" t="n"/>
    </row>
    <row r="76">
      <c r="A76" s="16">
        <f>IF(OR(B76="",D76=""),"",B76&amp;"|"&amp;D76)</f>
        <v/>
      </c>
      <c r="B76" s="12" t="n"/>
      <c r="C76" s="12" t="n"/>
      <c r="D76" s="12" t="n"/>
      <c r="E76" s="12" t="n"/>
      <c r="F76" s="24" t="n"/>
      <c r="G76" s="24" t="n"/>
    </row>
    <row r="77">
      <c r="A77" s="16">
        <f>IF(OR(B77="",D77=""),"",B77&amp;"|"&amp;D77)</f>
        <v/>
      </c>
      <c r="B77" s="12" t="n"/>
      <c r="C77" s="12" t="n"/>
      <c r="D77" s="12" t="n"/>
      <c r="E77" s="12" t="n"/>
      <c r="F77" s="24" t="n"/>
      <c r="G77" s="24" t="n"/>
    </row>
    <row r="78">
      <c r="A78" s="16">
        <f>IF(OR(B78="",D78=""),"",B78&amp;"|"&amp;D78)</f>
        <v/>
      </c>
      <c r="B78" s="12" t="n"/>
      <c r="C78" s="12" t="n"/>
      <c r="D78" s="12" t="n"/>
      <c r="E78" s="12" t="n"/>
      <c r="F78" s="24" t="n"/>
      <c r="G78" s="24" t="n"/>
    </row>
    <row r="79">
      <c r="A79" s="16">
        <f>IF(OR(B79="",D79=""),"",B79&amp;"|"&amp;D79)</f>
        <v/>
      </c>
      <c r="B79" s="12" t="n"/>
      <c r="C79" s="12" t="n"/>
      <c r="D79" s="12" t="n"/>
      <c r="E79" s="12" t="n"/>
      <c r="F79" s="24" t="n"/>
      <c r="G79" s="24" t="n"/>
    </row>
    <row r="80">
      <c r="A80" s="16">
        <f>IF(OR(B80="",D80=""),"",B80&amp;"|"&amp;D80)</f>
        <v/>
      </c>
      <c r="B80" s="12" t="n"/>
      <c r="C80" s="12" t="n"/>
      <c r="D80" s="12" t="n"/>
      <c r="E80" s="12" t="n"/>
      <c r="F80" s="24" t="n"/>
      <c r="G80" s="24" t="n"/>
    </row>
    <row r="81">
      <c r="A81" s="16">
        <f>IF(OR(B81="",D81=""),"",B81&amp;"|"&amp;D81)</f>
        <v/>
      </c>
      <c r="B81" s="12" t="n"/>
      <c r="C81" s="12" t="n"/>
      <c r="D81" s="12" t="n"/>
      <c r="E81" s="12" t="n"/>
      <c r="F81" s="24" t="n"/>
      <c r="G81" s="24" t="n"/>
    </row>
    <row r="82">
      <c r="A82" s="16">
        <f>IF(OR(B82="",D82=""),"",B82&amp;"|"&amp;D82)</f>
        <v/>
      </c>
      <c r="B82" s="12" t="n"/>
      <c r="C82" s="12" t="n"/>
      <c r="D82" s="12" t="n"/>
      <c r="E82" s="12" t="n"/>
      <c r="F82" s="24" t="n"/>
      <c r="G82" s="24" t="n"/>
    </row>
    <row r="83">
      <c r="A83" s="16">
        <f>IF(OR(B83="",D83=""),"",B83&amp;"|"&amp;D83)</f>
        <v/>
      </c>
      <c r="B83" s="12" t="n"/>
      <c r="C83" s="12" t="n"/>
      <c r="D83" s="12" t="n"/>
      <c r="E83" s="12" t="n"/>
      <c r="F83" s="24" t="n"/>
      <c r="G83" s="24" t="n"/>
    </row>
    <row r="84">
      <c r="A84" s="16">
        <f>IF(OR(B84="",D84=""),"",B84&amp;"|"&amp;D84)</f>
        <v/>
      </c>
      <c r="B84" s="12" t="n"/>
      <c r="C84" s="12" t="n"/>
      <c r="D84" s="12" t="n"/>
      <c r="E84" s="12" t="n"/>
      <c r="F84" s="24" t="n"/>
      <c r="G84" s="24" t="n"/>
    </row>
    <row r="85">
      <c r="A85" s="16">
        <f>IF(OR(B85="",D85=""),"",B85&amp;"|"&amp;D85)</f>
        <v/>
      </c>
      <c r="B85" s="12" t="n"/>
      <c r="C85" s="12" t="n"/>
      <c r="D85" s="12" t="n"/>
      <c r="E85" s="12" t="n"/>
      <c r="F85" s="24" t="n"/>
      <c r="G85" s="24" t="n"/>
    </row>
    <row r="86">
      <c r="A86" s="16">
        <f>IF(OR(B86="",D86=""),"",B86&amp;"|"&amp;D86)</f>
        <v/>
      </c>
      <c r="B86" s="12" t="n"/>
      <c r="C86" s="12" t="n"/>
      <c r="D86" s="12" t="n"/>
      <c r="E86" s="12" t="n"/>
      <c r="F86" s="24" t="n"/>
      <c r="G86" s="24" t="n"/>
    </row>
    <row r="87">
      <c r="A87" s="16">
        <f>IF(OR(B87="",D87=""),"",B87&amp;"|"&amp;D87)</f>
        <v/>
      </c>
      <c r="B87" s="12" t="n"/>
      <c r="C87" s="12" t="n"/>
      <c r="D87" s="12" t="n"/>
      <c r="E87" s="12" t="n"/>
      <c r="F87" s="24" t="n"/>
      <c r="G87" s="24" t="n"/>
    </row>
    <row r="88">
      <c r="A88" s="16">
        <f>IF(OR(B88="",D88=""),"",B88&amp;"|"&amp;D88)</f>
        <v/>
      </c>
      <c r="B88" s="12" t="n"/>
      <c r="C88" s="12" t="n"/>
      <c r="D88" s="12" t="n"/>
      <c r="E88" s="12" t="n"/>
      <c r="F88" s="24" t="n"/>
      <c r="G88" s="24" t="n"/>
    </row>
    <row r="89">
      <c r="A89" s="16">
        <f>IF(OR(B89="",D89=""),"",B89&amp;"|"&amp;D89)</f>
        <v/>
      </c>
      <c r="B89" s="12" t="n"/>
      <c r="C89" s="12" t="n"/>
      <c r="D89" s="12" t="n"/>
      <c r="E89" s="12" t="n"/>
      <c r="F89" s="24" t="n"/>
      <c r="G89" s="24" t="n"/>
    </row>
    <row r="90">
      <c r="A90" s="16">
        <f>IF(OR(B90="",D90=""),"",B90&amp;"|"&amp;D90)</f>
        <v/>
      </c>
      <c r="B90" s="12" t="n"/>
      <c r="C90" s="12" t="n"/>
      <c r="D90" s="12" t="n"/>
      <c r="E90" s="12" t="n"/>
      <c r="F90" s="24" t="n"/>
      <c r="G90" s="24" t="n"/>
    </row>
    <row r="91">
      <c r="A91" s="16">
        <f>IF(OR(B91="",D91=""),"",B91&amp;"|"&amp;D91)</f>
        <v/>
      </c>
      <c r="B91" s="12" t="n"/>
      <c r="C91" s="12" t="n"/>
      <c r="D91" s="12" t="n"/>
      <c r="E91" s="12" t="n"/>
      <c r="F91" s="24" t="n"/>
      <c r="G91" s="24" t="n"/>
    </row>
    <row r="92">
      <c r="A92" s="16">
        <f>IF(OR(B92="",D92=""),"",B92&amp;"|"&amp;D92)</f>
        <v/>
      </c>
      <c r="B92" s="12" t="n"/>
      <c r="C92" s="12" t="n"/>
      <c r="D92" s="12" t="n"/>
      <c r="E92" s="12" t="n"/>
      <c r="F92" s="24" t="n"/>
      <c r="G92" s="24" t="n"/>
    </row>
    <row r="93">
      <c r="A93" s="16">
        <f>IF(OR(B93="",D93=""),"",B93&amp;"|"&amp;D93)</f>
        <v/>
      </c>
      <c r="B93" s="12" t="n"/>
      <c r="C93" s="12" t="n"/>
      <c r="D93" s="12" t="n"/>
      <c r="E93" s="12" t="n"/>
      <c r="F93" s="24" t="n"/>
      <c r="G93" s="24" t="n"/>
    </row>
    <row r="94">
      <c r="A94" s="16">
        <f>IF(OR(B94="",D94=""),"",B94&amp;"|"&amp;D94)</f>
        <v/>
      </c>
      <c r="B94" s="12" t="n"/>
      <c r="C94" s="12" t="n"/>
      <c r="D94" s="12" t="n"/>
      <c r="E94" s="12" t="n"/>
      <c r="F94" s="24" t="n"/>
      <c r="G94" s="24" t="n"/>
    </row>
    <row r="95">
      <c r="A95" s="16">
        <f>IF(OR(B95="",D95=""),"",B95&amp;"|"&amp;D95)</f>
        <v/>
      </c>
      <c r="B95" s="12" t="n"/>
      <c r="C95" s="12" t="n"/>
      <c r="D95" s="12" t="n"/>
      <c r="E95" s="12" t="n"/>
      <c r="F95" s="24" t="n"/>
      <c r="G95" s="24" t="n"/>
    </row>
    <row r="96">
      <c r="A96" s="16">
        <f>IF(OR(B96="",D96=""),"",B96&amp;"|"&amp;D96)</f>
        <v/>
      </c>
      <c r="B96" s="12" t="n"/>
      <c r="C96" s="12" t="n"/>
      <c r="D96" s="12" t="n"/>
      <c r="E96" s="12" t="n"/>
      <c r="F96" s="24" t="n"/>
      <c r="G96" s="24" t="n"/>
    </row>
    <row r="97">
      <c r="A97" s="16">
        <f>IF(OR(B97="",D97=""),"",B97&amp;"|"&amp;D97)</f>
        <v/>
      </c>
      <c r="B97" s="12" t="n"/>
      <c r="C97" s="12" t="n"/>
      <c r="D97" s="12" t="n"/>
      <c r="E97" s="12" t="n"/>
      <c r="F97" s="24" t="n"/>
      <c r="G97" s="24" t="n"/>
    </row>
    <row r="98">
      <c r="A98" s="16">
        <f>IF(OR(B98="",D98=""),"",B98&amp;"|"&amp;D98)</f>
        <v/>
      </c>
      <c r="B98" s="12" t="n"/>
      <c r="C98" s="12" t="n"/>
      <c r="D98" s="12" t="n"/>
      <c r="E98" s="12" t="n"/>
      <c r="F98" s="24" t="n"/>
      <c r="G98" s="24" t="n"/>
    </row>
    <row r="99">
      <c r="A99" s="16">
        <f>IF(OR(B99="",D99=""),"",B99&amp;"|"&amp;D99)</f>
        <v/>
      </c>
      <c r="B99" s="12" t="n"/>
      <c r="C99" s="12" t="n"/>
      <c r="D99" s="12" t="n"/>
      <c r="E99" s="12" t="n"/>
      <c r="F99" s="24" t="n"/>
      <c r="G99" s="24" t="n"/>
    </row>
    <row r="100">
      <c r="A100" s="16">
        <f>IF(OR(B100="",D100=""),"",B100&amp;"|"&amp;D100)</f>
        <v/>
      </c>
      <c r="B100" s="12" t="n"/>
      <c r="C100" s="12" t="n"/>
      <c r="D100" s="12" t="n"/>
      <c r="E100" s="12" t="n"/>
      <c r="F100" s="24" t="n"/>
      <c r="G100" s="24" t="n"/>
    </row>
    <row r="101">
      <c r="A101" s="16">
        <f>IF(OR(B101="",D101=""),"",B101&amp;"|"&amp;D101)</f>
        <v/>
      </c>
      <c r="B101" s="12" t="n"/>
      <c r="C101" s="12" t="n"/>
      <c r="D101" s="12" t="n"/>
      <c r="E101" s="12" t="n"/>
      <c r="F101" s="24" t="n"/>
      <c r="G101" s="24" t="n"/>
    </row>
  </sheetData>
  <autoFilter ref="A1:G101"/>
  <conditionalFormatting sqref="F2:G101">
    <cfRule type="expression" priority="1" dxfId="0">
      <formula>AND($F2&lt;&gt;"",$G2&lt;&gt;"",$G2&lt;$F2)</formula>
    </cfRule>
  </conditionalFormatting>
  <conditionalFormatting sqref="A2:G101">
    <cfRule type="expression" priority="2" dxfId="6">
      <formula>$E2="Non"</formula>
    </cfRule>
  </conditionalFormatting>
  <dataValidations count="2">
    <dataValidation sqref="E2:E101" showErrorMessage="1" showInputMessage="1" allowBlank="1" errorTitle="Valeur non autorisée" error="Choisir « Oui » ou « Non »." type="list">
      <formula1>"Oui,Non"</formula1>
    </dataValidation>
    <dataValidation sqref="F2:G101" showErrorMessage="1" showInputMessage="1" allowBlank="1" errorTitle="Date non autorisée" error="Saisir une date comprise dans les limites définies dans Paramètres." type="date" operator="between">
      <formula1>INDIRECT("Paramètres!$B$5")</formula1>
      <formula2>INDIRECT("Paramètres!$B$6")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F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3" customWidth="1" min="3" max="3"/>
    <col width="14" customWidth="1" min="4" max="4"/>
    <col width="13" customWidth="1" min="5" max="5"/>
    <col width="34" customWidth="1" min="6" max="6"/>
  </cols>
  <sheetData>
    <row r="1" ht="32" customHeight="1">
      <c r="A1" s="18" t="inlineStr">
        <is>
          <t>ID intervenant</t>
        </is>
      </c>
      <c r="B1" s="18" t="inlineStr">
        <is>
          <t>Date début</t>
        </is>
      </c>
      <c r="C1" s="18" t="inlineStr">
        <is>
          <t>Heure début</t>
        </is>
      </c>
      <c r="D1" s="18" t="inlineStr">
        <is>
          <t>Date fin</t>
        </is>
      </c>
      <c r="E1" s="18" t="inlineStr">
        <is>
          <t>Heure fin</t>
        </is>
      </c>
      <c r="F1" s="18" t="inlineStr">
        <is>
          <t>Motif</t>
        </is>
      </c>
    </row>
    <row r="2">
      <c r="A2" s="12" t="inlineStr">
        <is>
          <t>INT-002</t>
        </is>
      </c>
      <c r="B2" s="24" t="n">
        <v>46273</v>
      </c>
      <c r="C2" s="25" t="n">
        <v>0.3541666666666667</v>
      </c>
      <c r="D2" s="24" t="n">
        <v>46273</v>
      </c>
      <c r="E2" s="25" t="n">
        <v>0.4375</v>
      </c>
      <c r="F2" s="12" t="inlineStr">
        <is>
          <t>Indisponibilité démo</t>
        </is>
      </c>
    </row>
    <row r="3">
      <c r="A3" s="12" t="inlineStr">
        <is>
          <t>INT-001</t>
        </is>
      </c>
      <c r="B3" s="24" t="n">
        <v>46280</v>
      </c>
      <c r="C3" s="25" t="n">
        <v>0.2916666666666667</v>
      </c>
      <c r="D3" s="24" t="n">
        <v>46280</v>
      </c>
      <c r="E3" s="25" t="n">
        <v>0.5</v>
      </c>
      <c r="F3" s="12" t="inlineStr">
        <is>
          <t>Formation interne fictive</t>
        </is>
      </c>
    </row>
    <row r="4">
      <c r="A4" s="12" t="inlineStr">
        <is>
          <t>INT-003</t>
        </is>
      </c>
      <c r="B4" s="24" t="n">
        <v>46281</v>
      </c>
      <c r="C4" s="25" t="n">
        <v>0.5416666666666666</v>
      </c>
      <c r="D4" s="24" t="n">
        <v>46281</v>
      </c>
      <c r="E4" s="25" t="n">
        <v>0.7916666666666666</v>
      </c>
      <c r="F4" s="12" t="inlineStr">
        <is>
          <t>Réunion démo</t>
        </is>
      </c>
    </row>
    <row r="5">
      <c r="A5" s="12" t="inlineStr">
        <is>
          <t>INT-004</t>
        </is>
      </c>
      <c r="B5" s="24" t="n">
        <v>46282</v>
      </c>
      <c r="C5" s="25" t="n">
        <v>0.3333333333333333</v>
      </c>
      <c r="D5" s="24" t="n">
        <v>46283</v>
      </c>
      <c r="E5" s="25" t="n">
        <v>0.7083333333333334</v>
      </c>
      <c r="F5" s="12" t="inlineStr">
        <is>
          <t>Absence fictive</t>
        </is>
      </c>
    </row>
    <row r="6">
      <c r="A6" s="12" t="inlineStr">
        <is>
          <t>INT-005</t>
        </is>
      </c>
      <c r="B6" s="24" t="n">
        <v>46285</v>
      </c>
      <c r="C6" s="25" t="n">
        <v>0.3333333333333333</v>
      </c>
      <c r="D6" s="24" t="n">
        <v>46285</v>
      </c>
      <c r="E6" s="25" t="n">
        <v>0.7083333333333334</v>
      </c>
      <c r="F6" s="12" t="inlineStr">
        <is>
          <t>Atelier interne démo</t>
        </is>
      </c>
    </row>
    <row r="7">
      <c r="A7" s="12" t="inlineStr">
        <is>
          <t>INT-006</t>
        </is>
      </c>
      <c r="B7" s="24" t="n">
        <v>46286</v>
      </c>
      <c r="C7" s="25" t="n">
        <v>0.3125</v>
      </c>
      <c r="D7" s="24" t="n">
        <v>46286</v>
      </c>
      <c r="E7" s="25" t="n">
        <v>0.4791666666666667</v>
      </c>
      <c r="F7" s="12" t="inlineStr">
        <is>
          <t>Indisponibilité fictive</t>
        </is>
      </c>
    </row>
    <row r="8">
      <c r="A8" s="12" t="inlineStr">
        <is>
          <t>INT-007</t>
        </is>
      </c>
      <c r="B8" s="24" t="n">
        <v>46287</v>
      </c>
      <c r="C8" s="25" t="n">
        <v>0.5833333333333334</v>
      </c>
      <c r="D8" s="24" t="n">
        <v>46287</v>
      </c>
      <c r="E8" s="25" t="n">
        <v>0.7708333333333334</v>
      </c>
      <c r="F8" s="12" t="inlineStr">
        <is>
          <t>Entretien matériel démo</t>
        </is>
      </c>
    </row>
    <row r="9">
      <c r="A9" s="12" t="inlineStr">
        <is>
          <t>INT-008</t>
        </is>
      </c>
      <c r="B9" s="24" t="n">
        <v>46288</v>
      </c>
      <c r="C9" s="25" t="n">
        <v>0.375</v>
      </c>
      <c r="D9" s="24" t="n">
        <v>46288</v>
      </c>
      <c r="E9" s="25" t="n">
        <v>0.5</v>
      </c>
      <c r="F9" s="12" t="inlineStr">
        <is>
          <t>Accueil interne fictif</t>
        </is>
      </c>
    </row>
    <row r="10">
      <c r="A10" s="12" t="inlineStr">
        <is>
          <t>INT-001</t>
        </is>
      </c>
      <c r="B10" s="24" t="n">
        <v>46300</v>
      </c>
      <c r="C10" s="25" t="n">
        <v>0.3333333333333333</v>
      </c>
      <c r="D10" s="24" t="n">
        <v>46300</v>
      </c>
      <c r="E10" s="25" t="n">
        <v>0.6666666666666666</v>
      </c>
      <c r="F10" s="12" t="inlineStr">
        <is>
          <t>Journée témoin</t>
        </is>
      </c>
    </row>
    <row r="11">
      <c r="A11" s="12" t="inlineStr">
        <is>
          <t>INT-003</t>
        </is>
      </c>
      <c r="B11" s="24" t="n">
        <v>46302</v>
      </c>
      <c r="C11" s="25" t="n">
        <v>0.2916666666666667</v>
      </c>
      <c r="D11" s="24" t="n">
        <v>46302</v>
      </c>
      <c r="E11" s="25" t="n">
        <v>0.4166666666666667</v>
      </c>
      <c r="F11" s="12" t="inlineStr">
        <is>
          <t>Point équipe fictif</t>
        </is>
      </c>
    </row>
    <row r="12">
      <c r="A12" s="12" t="n"/>
      <c r="B12" s="24" t="n"/>
      <c r="C12" s="25" t="n"/>
      <c r="D12" s="24" t="n"/>
      <c r="E12" s="25" t="n"/>
      <c r="F12" s="12" t="n"/>
    </row>
    <row r="13">
      <c r="A13" s="12" t="n"/>
      <c r="B13" s="24" t="n"/>
      <c r="C13" s="25" t="n"/>
      <c r="D13" s="24" t="n"/>
      <c r="E13" s="25" t="n"/>
      <c r="F13" s="12" t="n"/>
    </row>
    <row r="14">
      <c r="A14" s="12" t="n"/>
      <c r="B14" s="24" t="n"/>
      <c r="C14" s="25" t="n"/>
      <c r="D14" s="24" t="n"/>
      <c r="E14" s="25" t="n"/>
      <c r="F14" s="12" t="n"/>
    </row>
    <row r="15">
      <c r="A15" s="12" t="n"/>
      <c r="B15" s="24" t="n"/>
      <c r="C15" s="25" t="n"/>
      <c r="D15" s="24" t="n"/>
      <c r="E15" s="25" t="n"/>
      <c r="F15" s="12" t="n"/>
    </row>
    <row r="16">
      <c r="A16" s="12" t="n"/>
      <c r="B16" s="24" t="n"/>
      <c r="C16" s="25" t="n"/>
      <c r="D16" s="24" t="n"/>
      <c r="E16" s="25" t="n"/>
      <c r="F16" s="12" t="n"/>
    </row>
    <row r="17">
      <c r="A17" s="12" t="n"/>
      <c r="B17" s="24" t="n"/>
      <c r="C17" s="25" t="n"/>
      <c r="D17" s="24" t="n"/>
      <c r="E17" s="25" t="n"/>
      <c r="F17" s="12" t="n"/>
    </row>
    <row r="18">
      <c r="A18" s="12" t="n"/>
      <c r="B18" s="24" t="n"/>
      <c r="C18" s="25" t="n"/>
      <c r="D18" s="24" t="n"/>
      <c r="E18" s="25" t="n"/>
      <c r="F18" s="12" t="n"/>
    </row>
    <row r="19">
      <c r="A19" s="12" t="n"/>
      <c r="B19" s="24" t="n"/>
      <c r="C19" s="25" t="n"/>
      <c r="D19" s="24" t="n"/>
      <c r="E19" s="25" t="n"/>
      <c r="F19" s="12" t="n"/>
    </row>
    <row r="20">
      <c r="A20" s="12" t="n"/>
      <c r="B20" s="24" t="n"/>
      <c r="C20" s="25" t="n"/>
      <c r="D20" s="24" t="n"/>
      <c r="E20" s="25" t="n"/>
      <c r="F20" s="12" t="n"/>
    </row>
    <row r="21">
      <c r="A21" s="12" t="n"/>
      <c r="B21" s="24" t="n"/>
      <c r="C21" s="25" t="n"/>
      <c r="D21" s="24" t="n"/>
      <c r="E21" s="25" t="n"/>
      <c r="F21" s="12" t="n"/>
    </row>
    <row r="22">
      <c r="A22" s="12" t="n"/>
      <c r="B22" s="24" t="n"/>
      <c r="C22" s="25" t="n"/>
      <c r="D22" s="24" t="n"/>
      <c r="E22" s="25" t="n"/>
      <c r="F22" s="12" t="n"/>
    </row>
    <row r="23">
      <c r="A23" s="12" t="n"/>
      <c r="B23" s="24" t="n"/>
      <c r="C23" s="25" t="n"/>
      <c r="D23" s="24" t="n"/>
      <c r="E23" s="25" t="n"/>
      <c r="F23" s="12" t="n"/>
    </row>
    <row r="24">
      <c r="A24" s="12" t="n"/>
      <c r="B24" s="24" t="n"/>
      <c r="C24" s="25" t="n"/>
      <c r="D24" s="24" t="n"/>
      <c r="E24" s="25" t="n"/>
      <c r="F24" s="12" t="n"/>
    </row>
    <row r="25">
      <c r="A25" s="12" t="n"/>
      <c r="B25" s="24" t="n"/>
      <c r="C25" s="25" t="n"/>
      <c r="D25" s="24" t="n"/>
      <c r="E25" s="25" t="n"/>
      <c r="F25" s="12" t="n"/>
    </row>
    <row r="26">
      <c r="A26" s="12" t="n"/>
      <c r="B26" s="24" t="n"/>
      <c r="C26" s="25" t="n"/>
      <c r="D26" s="24" t="n"/>
      <c r="E26" s="25" t="n"/>
      <c r="F26" s="12" t="n"/>
    </row>
    <row r="27">
      <c r="A27" s="12" t="n"/>
      <c r="B27" s="24" t="n"/>
      <c r="C27" s="25" t="n"/>
      <c r="D27" s="24" t="n"/>
      <c r="E27" s="25" t="n"/>
      <c r="F27" s="12" t="n"/>
    </row>
    <row r="28">
      <c r="A28" s="12" t="n"/>
      <c r="B28" s="24" t="n"/>
      <c r="C28" s="25" t="n"/>
      <c r="D28" s="24" t="n"/>
      <c r="E28" s="25" t="n"/>
      <c r="F28" s="12" t="n"/>
    </row>
    <row r="29">
      <c r="A29" s="12" t="n"/>
      <c r="B29" s="24" t="n"/>
      <c r="C29" s="25" t="n"/>
      <c r="D29" s="24" t="n"/>
      <c r="E29" s="25" t="n"/>
      <c r="F29" s="12" t="n"/>
    </row>
    <row r="30">
      <c r="A30" s="12" t="n"/>
      <c r="B30" s="24" t="n"/>
      <c r="C30" s="25" t="n"/>
      <c r="D30" s="24" t="n"/>
      <c r="E30" s="25" t="n"/>
      <c r="F30" s="12" t="n"/>
    </row>
    <row r="31">
      <c r="A31" s="12" t="n"/>
      <c r="B31" s="24" t="n"/>
      <c r="C31" s="25" t="n"/>
      <c r="D31" s="24" t="n"/>
      <c r="E31" s="25" t="n"/>
      <c r="F31" s="12" t="n"/>
    </row>
    <row r="32">
      <c r="A32" s="12" t="n"/>
      <c r="B32" s="24" t="n"/>
      <c r="C32" s="25" t="n"/>
      <c r="D32" s="24" t="n"/>
      <c r="E32" s="25" t="n"/>
      <c r="F32" s="12" t="n"/>
    </row>
    <row r="33">
      <c r="A33" s="12" t="n"/>
      <c r="B33" s="24" t="n"/>
      <c r="C33" s="25" t="n"/>
      <c r="D33" s="24" t="n"/>
      <c r="E33" s="25" t="n"/>
      <c r="F33" s="12" t="n"/>
    </row>
    <row r="34">
      <c r="A34" s="12" t="n"/>
      <c r="B34" s="24" t="n"/>
      <c r="C34" s="25" t="n"/>
      <c r="D34" s="24" t="n"/>
      <c r="E34" s="25" t="n"/>
      <c r="F34" s="12" t="n"/>
    </row>
    <row r="35">
      <c r="A35" s="12" t="n"/>
      <c r="B35" s="24" t="n"/>
      <c r="C35" s="25" t="n"/>
      <c r="D35" s="24" t="n"/>
      <c r="E35" s="25" t="n"/>
      <c r="F35" s="12" t="n"/>
    </row>
    <row r="36">
      <c r="A36" s="12" t="n"/>
      <c r="B36" s="24" t="n"/>
      <c r="C36" s="25" t="n"/>
      <c r="D36" s="24" t="n"/>
      <c r="E36" s="25" t="n"/>
      <c r="F36" s="12" t="n"/>
    </row>
    <row r="37">
      <c r="A37" s="12" t="n"/>
      <c r="B37" s="24" t="n"/>
      <c r="C37" s="25" t="n"/>
      <c r="D37" s="24" t="n"/>
      <c r="E37" s="25" t="n"/>
      <c r="F37" s="12" t="n"/>
    </row>
    <row r="38">
      <c r="A38" s="12" t="n"/>
      <c r="B38" s="24" t="n"/>
      <c r="C38" s="25" t="n"/>
      <c r="D38" s="24" t="n"/>
      <c r="E38" s="25" t="n"/>
      <c r="F38" s="12" t="n"/>
    </row>
    <row r="39">
      <c r="A39" s="12" t="n"/>
      <c r="B39" s="24" t="n"/>
      <c r="C39" s="25" t="n"/>
      <c r="D39" s="24" t="n"/>
      <c r="E39" s="25" t="n"/>
      <c r="F39" s="12" t="n"/>
    </row>
    <row r="40">
      <c r="A40" s="12" t="n"/>
      <c r="B40" s="24" t="n"/>
      <c r="C40" s="25" t="n"/>
      <c r="D40" s="24" t="n"/>
      <c r="E40" s="25" t="n"/>
      <c r="F40" s="12" t="n"/>
    </row>
    <row r="41">
      <c r="A41" s="12" t="n"/>
      <c r="B41" s="24" t="n"/>
      <c r="C41" s="25" t="n"/>
      <c r="D41" s="24" t="n"/>
      <c r="E41" s="25" t="n"/>
      <c r="F41" s="12" t="n"/>
    </row>
    <row r="42">
      <c r="A42" s="12" t="n"/>
      <c r="B42" s="24" t="n"/>
      <c r="C42" s="25" t="n"/>
      <c r="D42" s="24" t="n"/>
      <c r="E42" s="25" t="n"/>
      <c r="F42" s="12" t="n"/>
    </row>
    <row r="43">
      <c r="A43" s="12" t="n"/>
      <c r="B43" s="24" t="n"/>
      <c r="C43" s="25" t="n"/>
      <c r="D43" s="24" t="n"/>
      <c r="E43" s="25" t="n"/>
      <c r="F43" s="12" t="n"/>
    </row>
    <row r="44">
      <c r="A44" s="12" t="n"/>
      <c r="B44" s="24" t="n"/>
      <c r="C44" s="25" t="n"/>
      <c r="D44" s="24" t="n"/>
      <c r="E44" s="25" t="n"/>
      <c r="F44" s="12" t="n"/>
    </row>
    <row r="45">
      <c r="A45" s="12" t="n"/>
      <c r="B45" s="24" t="n"/>
      <c r="C45" s="25" t="n"/>
      <c r="D45" s="24" t="n"/>
      <c r="E45" s="25" t="n"/>
      <c r="F45" s="12" t="n"/>
    </row>
    <row r="46">
      <c r="A46" s="12" t="n"/>
      <c r="B46" s="24" t="n"/>
      <c r="C46" s="25" t="n"/>
      <c r="D46" s="24" t="n"/>
      <c r="E46" s="25" t="n"/>
      <c r="F46" s="12" t="n"/>
    </row>
    <row r="47">
      <c r="A47" s="12" t="n"/>
      <c r="B47" s="24" t="n"/>
      <c r="C47" s="25" t="n"/>
      <c r="D47" s="24" t="n"/>
      <c r="E47" s="25" t="n"/>
      <c r="F47" s="12" t="n"/>
    </row>
    <row r="48">
      <c r="A48" s="12" t="n"/>
      <c r="B48" s="24" t="n"/>
      <c r="C48" s="25" t="n"/>
      <c r="D48" s="24" t="n"/>
      <c r="E48" s="25" t="n"/>
      <c r="F48" s="12" t="n"/>
    </row>
    <row r="49">
      <c r="A49" s="12" t="n"/>
      <c r="B49" s="24" t="n"/>
      <c r="C49" s="25" t="n"/>
      <c r="D49" s="24" t="n"/>
      <c r="E49" s="25" t="n"/>
      <c r="F49" s="12" t="n"/>
    </row>
    <row r="50">
      <c r="A50" s="12" t="n"/>
      <c r="B50" s="24" t="n"/>
      <c r="C50" s="25" t="n"/>
      <c r="D50" s="24" t="n"/>
      <c r="E50" s="25" t="n"/>
      <c r="F50" s="12" t="n"/>
    </row>
    <row r="51">
      <c r="A51" s="12" t="n"/>
      <c r="B51" s="24" t="n"/>
      <c r="C51" s="25" t="n"/>
      <c r="D51" s="24" t="n"/>
      <c r="E51" s="25" t="n"/>
      <c r="F51" s="12" t="n"/>
    </row>
    <row r="52">
      <c r="A52" s="12" t="n"/>
      <c r="B52" s="24" t="n"/>
      <c r="C52" s="25" t="n"/>
      <c r="D52" s="24" t="n"/>
      <c r="E52" s="25" t="n"/>
      <c r="F52" s="12" t="n"/>
    </row>
    <row r="53">
      <c r="A53" s="12" t="n"/>
      <c r="B53" s="24" t="n"/>
      <c r="C53" s="25" t="n"/>
      <c r="D53" s="24" t="n"/>
      <c r="E53" s="25" t="n"/>
      <c r="F53" s="12" t="n"/>
    </row>
    <row r="54">
      <c r="A54" s="12" t="n"/>
      <c r="B54" s="24" t="n"/>
      <c r="C54" s="25" t="n"/>
      <c r="D54" s="24" t="n"/>
      <c r="E54" s="25" t="n"/>
      <c r="F54" s="12" t="n"/>
    </row>
    <row r="55">
      <c r="A55" s="12" t="n"/>
      <c r="B55" s="24" t="n"/>
      <c r="C55" s="25" t="n"/>
      <c r="D55" s="24" t="n"/>
      <c r="E55" s="25" t="n"/>
      <c r="F55" s="12" t="n"/>
    </row>
    <row r="56">
      <c r="A56" s="12" t="n"/>
      <c r="B56" s="24" t="n"/>
      <c r="C56" s="25" t="n"/>
      <c r="D56" s="24" t="n"/>
      <c r="E56" s="25" t="n"/>
      <c r="F56" s="12" t="n"/>
    </row>
    <row r="57">
      <c r="A57" s="12" t="n"/>
      <c r="B57" s="24" t="n"/>
      <c r="C57" s="25" t="n"/>
      <c r="D57" s="24" t="n"/>
      <c r="E57" s="25" t="n"/>
      <c r="F57" s="12" t="n"/>
    </row>
    <row r="58">
      <c r="A58" s="12" t="n"/>
      <c r="B58" s="24" t="n"/>
      <c r="C58" s="25" t="n"/>
      <c r="D58" s="24" t="n"/>
      <c r="E58" s="25" t="n"/>
      <c r="F58" s="12" t="n"/>
    </row>
    <row r="59">
      <c r="A59" s="12" t="n"/>
      <c r="B59" s="24" t="n"/>
      <c r="C59" s="25" t="n"/>
      <c r="D59" s="24" t="n"/>
      <c r="E59" s="25" t="n"/>
      <c r="F59" s="12" t="n"/>
    </row>
    <row r="60">
      <c r="A60" s="12" t="n"/>
      <c r="B60" s="24" t="n"/>
      <c r="C60" s="25" t="n"/>
      <c r="D60" s="24" t="n"/>
      <c r="E60" s="25" t="n"/>
      <c r="F60" s="12" t="n"/>
    </row>
    <row r="61">
      <c r="A61" s="12" t="n"/>
      <c r="B61" s="24" t="n"/>
      <c r="C61" s="25" t="n"/>
      <c r="D61" s="24" t="n"/>
      <c r="E61" s="25" t="n"/>
      <c r="F61" s="12" t="n"/>
    </row>
    <row r="62">
      <c r="A62" s="12" t="n"/>
      <c r="B62" s="24" t="n"/>
      <c r="C62" s="25" t="n"/>
      <c r="D62" s="24" t="n"/>
      <c r="E62" s="25" t="n"/>
      <c r="F62" s="12" t="n"/>
    </row>
    <row r="63">
      <c r="A63" s="12" t="n"/>
      <c r="B63" s="24" t="n"/>
      <c r="C63" s="25" t="n"/>
      <c r="D63" s="24" t="n"/>
      <c r="E63" s="25" t="n"/>
      <c r="F63" s="12" t="n"/>
    </row>
    <row r="64">
      <c r="A64" s="12" t="n"/>
      <c r="B64" s="24" t="n"/>
      <c r="C64" s="25" t="n"/>
      <c r="D64" s="24" t="n"/>
      <c r="E64" s="25" t="n"/>
      <c r="F64" s="12" t="n"/>
    </row>
    <row r="65">
      <c r="A65" s="12" t="n"/>
      <c r="B65" s="24" t="n"/>
      <c r="C65" s="25" t="n"/>
      <c r="D65" s="24" t="n"/>
      <c r="E65" s="25" t="n"/>
      <c r="F65" s="12" t="n"/>
    </row>
    <row r="66">
      <c r="A66" s="12" t="n"/>
      <c r="B66" s="24" t="n"/>
      <c r="C66" s="25" t="n"/>
      <c r="D66" s="24" t="n"/>
      <c r="E66" s="25" t="n"/>
      <c r="F66" s="12" t="n"/>
    </row>
    <row r="67">
      <c r="A67" s="12" t="n"/>
      <c r="B67" s="24" t="n"/>
      <c r="C67" s="25" t="n"/>
      <c r="D67" s="24" t="n"/>
      <c r="E67" s="25" t="n"/>
      <c r="F67" s="12" t="n"/>
    </row>
    <row r="68">
      <c r="A68" s="12" t="n"/>
      <c r="B68" s="24" t="n"/>
      <c r="C68" s="25" t="n"/>
      <c r="D68" s="24" t="n"/>
      <c r="E68" s="25" t="n"/>
      <c r="F68" s="12" t="n"/>
    </row>
    <row r="69">
      <c r="A69" s="12" t="n"/>
      <c r="B69" s="24" t="n"/>
      <c r="C69" s="25" t="n"/>
      <c r="D69" s="24" t="n"/>
      <c r="E69" s="25" t="n"/>
      <c r="F69" s="12" t="n"/>
    </row>
    <row r="70">
      <c r="A70" s="12" t="n"/>
      <c r="B70" s="24" t="n"/>
      <c r="C70" s="25" t="n"/>
      <c r="D70" s="24" t="n"/>
      <c r="E70" s="25" t="n"/>
      <c r="F70" s="12" t="n"/>
    </row>
    <row r="71">
      <c r="A71" s="12" t="n"/>
      <c r="B71" s="24" t="n"/>
      <c r="C71" s="25" t="n"/>
      <c r="D71" s="24" t="n"/>
      <c r="E71" s="25" t="n"/>
      <c r="F71" s="12" t="n"/>
    </row>
    <row r="72">
      <c r="A72" s="12" t="n"/>
      <c r="B72" s="24" t="n"/>
      <c r="C72" s="25" t="n"/>
      <c r="D72" s="24" t="n"/>
      <c r="E72" s="25" t="n"/>
      <c r="F72" s="12" t="n"/>
    </row>
    <row r="73">
      <c r="A73" s="12" t="n"/>
      <c r="B73" s="24" t="n"/>
      <c r="C73" s="25" t="n"/>
      <c r="D73" s="24" t="n"/>
      <c r="E73" s="25" t="n"/>
      <c r="F73" s="12" t="n"/>
    </row>
    <row r="74">
      <c r="A74" s="12" t="n"/>
      <c r="B74" s="24" t="n"/>
      <c r="C74" s="25" t="n"/>
      <c r="D74" s="24" t="n"/>
      <c r="E74" s="25" t="n"/>
      <c r="F74" s="12" t="n"/>
    </row>
    <row r="75">
      <c r="A75" s="12" t="n"/>
      <c r="B75" s="24" t="n"/>
      <c r="C75" s="25" t="n"/>
      <c r="D75" s="24" t="n"/>
      <c r="E75" s="25" t="n"/>
      <c r="F75" s="12" t="n"/>
    </row>
    <row r="76">
      <c r="A76" s="12" t="n"/>
      <c r="B76" s="24" t="n"/>
      <c r="C76" s="25" t="n"/>
      <c r="D76" s="24" t="n"/>
      <c r="E76" s="25" t="n"/>
      <c r="F76" s="12" t="n"/>
    </row>
    <row r="77">
      <c r="A77" s="12" t="n"/>
      <c r="B77" s="24" t="n"/>
      <c r="C77" s="25" t="n"/>
      <c r="D77" s="24" t="n"/>
      <c r="E77" s="25" t="n"/>
      <c r="F77" s="12" t="n"/>
    </row>
    <row r="78">
      <c r="A78" s="12" t="n"/>
      <c r="B78" s="24" t="n"/>
      <c r="C78" s="25" t="n"/>
      <c r="D78" s="24" t="n"/>
      <c r="E78" s="25" t="n"/>
      <c r="F78" s="12" t="n"/>
    </row>
    <row r="79">
      <c r="A79" s="12" t="n"/>
      <c r="B79" s="24" t="n"/>
      <c r="C79" s="25" t="n"/>
      <c r="D79" s="24" t="n"/>
      <c r="E79" s="25" t="n"/>
      <c r="F79" s="12" t="n"/>
    </row>
    <row r="80">
      <c r="A80" s="12" t="n"/>
      <c r="B80" s="24" t="n"/>
      <c r="C80" s="25" t="n"/>
      <c r="D80" s="24" t="n"/>
      <c r="E80" s="25" t="n"/>
      <c r="F80" s="12" t="n"/>
    </row>
    <row r="81">
      <c r="A81" s="12" t="n"/>
      <c r="B81" s="24" t="n"/>
      <c r="C81" s="25" t="n"/>
      <c r="D81" s="24" t="n"/>
      <c r="E81" s="25" t="n"/>
      <c r="F81" s="12" t="n"/>
    </row>
    <row r="82">
      <c r="A82" s="12" t="n"/>
      <c r="B82" s="24" t="n"/>
      <c r="C82" s="25" t="n"/>
      <c r="D82" s="24" t="n"/>
      <c r="E82" s="25" t="n"/>
      <c r="F82" s="12" t="n"/>
    </row>
    <row r="83">
      <c r="A83" s="12" t="n"/>
      <c r="B83" s="24" t="n"/>
      <c r="C83" s="25" t="n"/>
      <c r="D83" s="24" t="n"/>
      <c r="E83" s="25" t="n"/>
      <c r="F83" s="12" t="n"/>
    </row>
    <row r="84">
      <c r="A84" s="12" t="n"/>
      <c r="B84" s="24" t="n"/>
      <c r="C84" s="25" t="n"/>
      <c r="D84" s="24" t="n"/>
      <c r="E84" s="25" t="n"/>
      <c r="F84" s="12" t="n"/>
    </row>
    <row r="85">
      <c r="A85" s="12" t="n"/>
      <c r="B85" s="24" t="n"/>
      <c r="C85" s="25" t="n"/>
      <c r="D85" s="24" t="n"/>
      <c r="E85" s="25" t="n"/>
      <c r="F85" s="12" t="n"/>
    </row>
    <row r="86">
      <c r="A86" s="12" t="n"/>
      <c r="B86" s="24" t="n"/>
      <c r="C86" s="25" t="n"/>
      <c r="D86" s="24" t="n"/>
      <c r="E86" s="25" t="n"/>
      <c r="F86" s="12" t="n"/>
    </row>
    <row r="87">
      <c r="A87" s="12" t="n"/>
      <c r="B87" s="24" t="n"/>
      <c r="C87" s="25" t="n"/>
      <c r="D87" s="24" t="n"/>
      <c r="E87" s="25" t="n"/>
      <c r="F87" s="12" t="n"/>
    </row>
    <row r="88">
      <c r="A88" s="12" t="n"/>
      <c r="B88" s="24" t="n"/>
      <c r="C88" s="25" t="n"/>
      <c r="D88" s="24" t="n"/>
      <c r="E88" s="25" t="n"/>
      <c r="F88" s="12" t="n"/>
    </row>
    <row r="89">
      <c r="A89" s="12" t="n"/>
      <c r="B89" s="24" t="n"/>
      <c r="C89" s="25" t="n"/>
      <c r="D89" s="24" t="n"/>
      <c r="E89" s="25" t="n"/>
      <c r="F89" s="12" t="n"/>
    </row>
    <row r="90">
      <c r="A90" s="12" t="n"/>
      <c r="B90" s="24" t="n"/>
      <c r="C90" s="25" t="n"/>
      <c r="D90" s="24" t="n"/>
      <c r="E90" s="25" t="n"/>
      <c r="F90" s="12" t="n"/>
    </row>
    <row r="91">
      <c r="A91" s="12" t="n"/>
      <c r="B91" s="24" t="n"/>
      <c r="C91" s="25" t="n"/>
      <c r="D91" s="24" t="n"/>
      <c r="E91" s="25" t="n"/>
      <c r="F91" s="12" t="n"/>
    </row>
    <row r="92">
      <c r="A92" s="12" t="n"/>
      <c r="B92" s="24" t="n"/>
      <c r="C92" s="25" t="n"/>
      <c r="D92" s="24" t="n"/>
      <c r="E92" s="25" t="n"/>
      <c r="F92" s="12" t="n"/>
    </row>
    <row r="93">
      <c r="A93" s="12" t="n"/>
      <c r="B93" s="24" t="n"/>
      <c r="C93" s="25" t="n"/>
      <c r="D93" s="24" t="n"/>
      <c r="E93" s="25" t="n"/>
      <c r="F93" s="12" t="n"/>
    </row>
    <row r="94">
      <c r="A94" s="12" t="n"/>
      <c r="B94" s="24" t="n"/>
      <c r="C94" s="25" t="n"/>
      <c r="D94" s="24" t="n"/>
      <c r="E94" s="25" t="n"/>
      <c r="F94" s="12" t="n"/>
    </row>
    <row r="95">
      <c r="A95" s="12" t="n"/>
      <c r="B95" s="24" t="n"/>
      <c r="C95" s="25" t="n"/>
      <c r="D95" s="24" t="n"/>
      <c r="E95" s="25" t="n"/>
      <c r="F95" s="12" t="n"/>
    </row>
    <row r="96">
      <c r="A96" s="12" t="n"/>
      <c r="B96" s="24" t="n"/>
      <c r="C96" s="25" t="n"/>
      <c r="D96" s="24" t="n"/>
      <c r="E96" s="25" t="n"/>
      <c r="F96" s="12" t="n"/>
    </row>
    <row r="97">
      <c r="A97" s="12" t="n"/>
      <c r="B97" s="24" t="n"/>
      <c r="C97" s="25" t="n"/>
      <c r="D97" s="24" t="n"/>
      <c r="E97" s="25" t="n"/>
      <c r="F97" s="12" t="n"/>
    </row>
    <row r="98">
      <c r="A98" s="12" t="n"/>
      <c r="B98" s="24" t="n"/>
      <c r="C98" s="25" t="n"/>
      <c r="D98" s="24" t="n"/>
      <c r="E98" s="25" t="n"/>
      <c r="F98" s="12" t="n"/>
    </row>
    <row r="99">
      <c r="A99" s="12" t="n"/>
      <c r="B99" s="24" t="n"/>
      <c r="C99" s="25" t="n"/>
      <c r="D99" s="24" t="n"/>
      <c r="E99" s="25" t="n"/>
      <c r="F99" s="12" t="n"/>
    </row>
    <row r="100">
      <c r="A100" s="12" t="n"/>
      <c r="B100" s="24" t="n"/>
      <c r="C100" s="25" t="n"/>
      <c r="D100" s="24" t="n"/>
      <c r="E100" s="25" t="n"/>
      <c r="F100" s="12" t="n"/>
    </row>
    <row r="101">
      <c r="A101" s="12" t="n"/>
      <c r="B101" s="24" t="n"/>
      <c r="C101" s="25" t="n"/>
      <c r="D101" s="24" t="n"/>
      <c r="E101" s="25" t="n"/>
      <c r="F101" s="12" t="n"/>
    </row>
  </sheetData>
  <autoFilter ref="A1:F101"/>
  <conditionalFormatting sqref="B2:E101">
    <cfRule type="expression" priority="1" dxfId="0">
      <formula>AND($A2&lt;&gt;"",$B2&lt;&gt;"",$C2&lt;&gt;"",$D2&lt;&gt;"",$E2&lt;&gt;"",($D2+$E2)&lt;=($B2+$C2))</formula>
    </cfRule>
  </conditionalFormatting>
  <dataValidations count="3">
    <dataValidation sqref="A2:A101" showErrorMessage="1" showInputMessage="1" allowBlank="1" errorTitle="Intervenant non autorisé" error="Choisir un identifiant d’intervenant actif." type="list">
      <formula1>INDIRECT("Paramètres!$G$2:$G$101")</formula1>
    </dataValidation>
    <dataValidation sqref="B2:B101 D2:D101" showErrorMessage="1" showInputMessage="1" allowBlank="1" errorTitle="Date non autorisée" error="Saisir une date comprise dans les limites définies dans Paramètres." type="date" operator="between">
      <formula1>INDIRECT("Paramètres!$B$5")</formula1>
      <formula2>INDIRECT("Paramètres!$B$6")</formula2>
    </dataValidation>
    <dataValidation sqref="C2:C101 E2:E101" showErrorMessage="1" showInputMessage="1" allowBlank="1" errorTitle="Heure non autorisée" error="Saisir une heure comprise entre 00:00 et 23:59." type="time" operator="between">
      <formula1>0</formula1>
      <formula2>TIME(23,59,59)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FFF0AE"/>
    <outlinePr summaryBelow="1" summaryRight="1"/>
    <pageSetUpPr/>
  </sheetPr>
  <dimension ref="A1:I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48" customWidth="1" min="2" max="2"/>
    <col width="3" customWidth="1" min="3" max="3"/>
    <col width="17" customWidth="1" min="4" max="4"/>
    <col width="17" customWidth="1" min="5" max="5"/>
    <col hidden="1" width="18" customWidth="1" min="7" max="7"/>
    <col hidden="1" width="18" customWidth="1" min="8" max="8"/>
    <col hidden="1" width="18" customWidth="1" min="9" max="9"/>
  </cols>
  <sheetData>
    <row r="1" ht="26" customHeight="1">
      <c r="A1" s="1" t="inlineStr">
        <is>
          <t>Paramètres de pilotage</t>
        </is>
      </c>
      <c r="B1" s="22" t="n"/>
      <c r="D1" s="11" t="inlineStr">
        <is>
          <t>Statuts</t>
        </is>
      </c>
      <c r="E1" s="11" t="inlineStr">
        <is>
          <t>Priorités</t>
        </is>
      </c>
      <c r="G1" s="11" t="inlineStr">
        <is>
          <t>Intervenants actifs</t>
        </is>
      </c>
      <c r="H1" s="11" t="inlineStr">
        <is>
          <t>Chantiers actifs</t>
        </is>
      </c>
      <c r="I1" s="11" t="inlineStr">
        <is>
          <t>Zones actives</t>
        </is>
      </c>
    </row>
    <row r="2">
      <c r="A2" s="7" t="inlineStr">
        <is>
          <t>Date de pilotage</t>
        </is>
      </c>
      <c r="B2" s="24" t="n">
        <v>46272</v>
      </c>
      <c r="D2" s="12" t="inlineStr">
        <is>
          <t>Prévue</t>
        </is>
      </c>
      <c r="E2" s="12" t="inlineStr">
        <is>
          <t>Basse</t>
        </is>
      </c>
      <c r="G2" s="19">
        <f>IFERROR(INDEX(Intervenants!$A$2:$A$101,AGGREGATE(15,6,(ROW(Intervenants!$A$2:$A$101)-ROW(Intervenants!$A$2)+1)/(Intervenants!$E$2:$E$101="Oui"),1)),"")</f>
        <v/>
      </c>
      <c r="H2" s="19">
        <f>IFERROR(INDEX(Chantiers_Zones!$B$2:$B$101,AGGREGATE(15,6,(ROW(Chantiers_Zones!$B$2:$B$101)-ROW(Chantiers_Zones!$B$2)+1)/(Chantiers_Zones!$E$2:$E$101="Oui"),1)),"")</f>
        <v/>
      </c>
      <c r="I2" s="19">
        <f>IFERROR(INDEX(Chantiers_Zones!$D$2:$D$101,AGGREGATE(15,6,(ROW(Chantiers_Zones!$D$2:$D$101)-ROW(Chantiers_Zones!$D$2)+1)/(Chantiers_Zones!$E$2:$E$101="Oui"),1)),"")</f>
        <v/>
      </c>
    </row>
    <row r="3">
      <c r="A3" s="7" t="inlineStr">
        <is>
          <t>Début de journée</t>
        </is>
      </c>
      <c r="B3" s="25" t="n">
        <v>0.2916666666666667</v>
      </c>
      <c r="D3" s="12" t="inlineStr">
        <is>
          <t>Confirmée</t>
        </is>
      </c>
      <c r="E3" s="12" t="inlineStr">
        <is>
          <t>Normale</t>
        </is>
      </c>
      <c r="G3" s="19">
        <f>IFERROR(INDEX(Intervenants!$A$2:$A$101,AGGREGATE(15,6,(ROW(Intervenants!$A$2:$A$101)-ROW(Intervenants!$A$2)+1)/(Intervenants!$E$2:$E$101="Oui"),2)),"")</f>
        <v/>
      </c>
      <c r="H3" s="19">
        <f>IFERROR(INDEX(Chantiers_Zones!$B$2:$B$101,AGGREGATE(15,6,(ROW(Chantiers_Zones!$B$2:$B$101)-ROW(Chantiers_Zones!$B$2)+1)/(Chantiers_Zones!$E$2:$E$101="Oui"),2)),"")</f>
        <v/>
      </c>
      <c r="I3" s="19">
        <f>IFERROR(INDEX(Chantiers_Zones!$D$2:$D$101,AGGREGATE(15,6,(ROW(Chantiers_Zones!$D$2:$D$101)-ROW(Chantiers_Zones!$D$2)+1)/(Chantiers_Zones!$E$2:$E$101="Oui"),2)),"")</f>
        <v/>
      </c>
    </row>
    <row r="4">
      <c r="A4" s="7" t="inlineStr">
        <is>
          <t>Fin de journée</t>
        </is>
      </c>
      <c r="B4" s="25" t="n">
        <v>0.7916666666666666</v>
      </c>
      <c r="D4" s="12" t="inlineStr">
        <is>
          <t>Réalisée</t>
        </is>
      </c>
      <c r="E4" s="12" t="inlineStr">
        <is>
          <t>Haute</t>
        </is>
      </c>
      <c r="G4" s="19">
        <f>IFERROR(INDEX(Intervenants!$A$2:$A$101,AGGREGATE(15,6,(ROW(Intervenants!$A$2:$A$101)-ROW(Intervenants!$A$2)+1)/(Intervenants!$E$2:$E$101="Oui"),3)),"")</f>
        <v/>
      </c>
      <c r="H4" s="19">
        <f>IFERROR(INDEX(Chantiers_Zones!$B$2:$B$101,AGGREGATE(15,6,(ROW(Chantiers_Zones!$B$2:$B$101)-ROW(Chantiers_Zones!$B$2)+1)/(Chantiers_Zones!$E$2:$E$101="Oui"),3)),"")</f>
        <v/>
      </c>
      <c r="I4" s="19">
        <f>IFERROR(INDEX(Chantiers_Zones!$D$2:$D$101,AGGREGATE(15,6,(ROW(Chantiers_Zones!$D$2:$D$101)-ROW(Chantiers_Zones!$D$2)+1)/(Chantiers_Zones!$E$2:$E$101="Oui"),3)),"")</f>
        <v/>
      </c>
    </row>
    <row r="5">
      <c r="A5" s="7" t="inlineStr">
        <is>
          <t>Date minimale de saisie</t>
        </is>
      </c>
      <c r="B5" s="24" t="n">
        <v>46023</v>
      </c>
      <c r="D5" s="12" t="inlineStr">
        <is>
          <t>Annulée</t>
        </is>
      </c>
      <c r="E5" s="12" t="n"/>
      <c r="G5" s="19">
        <f>IFERROR(INDEX(Intervenants!$A$2:$A$101,AGGREGATE(15,6,(ROW(Intervenants!$A$2:$A$101)-ROW(Intervenants!$A$2)+1)/(Intervenants!$E$2:$E$101="Oui"),4)),"")</f>
        <v/>
      </c>
      <c r="H5" s="19">
        <f>IFERROR(INDEX(Chantiers_Zones!$B$2:$B$101,AGGREGATE(15,6,(ROW(Chantiers_Zones!$B$2:$B$101)-ROW(Chantiers_Zones!$B$2)+1)/(Chantiers_Zones!$E$2:$E$101="Oui"),4)),"")</f>
        <v/>
      </c>
      <c r="I5" s="19">
        <f>IFERROR(INDEX(Chantiers_Zones!$D$2:$D$101,AGGREGATE(15,6,(ROW(Chantiers_Zones!$D$2:$D$101)-ROW(Chantiers_Zones!$D$2)+1)/(Chantiers_Zones!$E$2:$E$101="Oui"),4)),"")</f>
        <v/>
      </c>
    </row>
    <row r="6">
      <c r="A6" s="7" t="inlineStr">
        <is>
          <t>Date maximale de saisie</t>
        </is>
      </c>
      <c r="B6" s="24" t="n">
        <v>49674</v>
      </c>
      <c r="G6" s="19">
        <f>IFERROR(INDEX(Intervenants!$A$2:$A$101,AGGREGATE(15,6,(ROW(Intervenants!$A$2:$A$101)-ROW(Intervenants!$A$2)+1)/(Intervenants!$E$2:$E$101="Oui"),5)),"")</f>
        <v/>
      </c>
      <c r="H6" s="19">
        <f>IFERROR(INDEX(Chantiers_Zones!$B$2:$B$101,AGGREGATE(15,6,(ROW(Chantiers_Zones!$B$2:$B$101)-ROW(Chantiers_Zones!$B$2)+1)/(Chantiers_Zones!$E$2:$E$101="Oui"),5)),"")</f>
        <v/>
      </c>
      <c r="I6" s="19">
        <f>IFERROR(INDEX(Chantiers_Zones!$D$2:$D$101,AGGREGATE(15,6,(ROW(Chantiers_Zones!$D$2:$D$101)-ROW(Chantiers_Zones!$D$2)+1)/(Chantiers_Zones!$E$2:$E$101="Oui"),5)),"")</f>
        <v/>
      </c>
    </row>
    <row r="7">
      <c r="G7" s="19">
        <f>IFERROR(INDEX(Intervenants!$A$2:$A$101,AGGREGATE(15,6,(ROW(Intervenants!$A$2:$A$101)-ROW(Intervenants!$A$2)+1)/(Intervenants!$E$2:$E$101="Oui"),6)),"")</f>
        <v/>
      </c>
      <c r="H7" s="19">
        <f>IFERROR(INDEX(Chantiers_Zones!$B$2:$B$101,AGGREGATE(15,6,(ROW(Chantiers_Zones!$B$2:$B$101)-ROW(Chantiers_Zones!$B$2)+1)/(Chantiers_Zones!$E$2:$E$101="Oui"),6)),"")</f>
        <v/>
      </c>
      <c r="I7" s="19">
        <f>IFERROR(INDEX(Chantiers_Zones!$D$2:$D$101,AGGREGATE(15,6,(ROW(Chantiers_Zones!$D$2:$D$101)-ROW(Chantiers_Zones!$D$2)+1)/(Chantiers_Zones!$E$2:$E$101="Oui"),6)),"")</f>
        <v/>
      </c>
    </row>
    <row r="8" ht="42" customHeight="1">
      <c r="A8" s="7" t="inlineStr">
        <is>
          <t>Utilisation</t>
        </is>
      </c>
      <c r="B8" s="20" t="inlineStr">
        <is>
          <t>Modifier les cellules jaunes avant diffusion interne. Les contrôles signalent les incohérences sans constituer une validation réglementaire.</t>
        </is>
      </c>
      <c r="G8" s="19">
        <f>IFERROR(INDEX(Intervenants!$A$2:$A$101,AGGREGATE(15,6,(ROW(Intervenants!$A$2:$A$101)-ROW(Intervenants!$A$2)+1)/(Intervenants!$E$2:$E$101="Oui"),7)),"")</f>
        <v/>
      </c>
      <c r="H8" s="19">
        <f>IFERROR(INDEX(Chantiers_Zones!$B$2:$B$101,AGGREGATE(15,6,(ROW(Chantiers_Zones!$B$2:$B$101)-ROW(Chantiers_Zones!$B$2)+1)/(Chantiers_Zones!$E$2:$E$101="Oui"),7)),"")</f>
        <v/>
      </c>
      <c r="I8" s="19">
        <f>IFERROR(INDEX(Chantiers_Zones!$D$2:$D$101,AGGREGATE(15,6,(ROW(Chantiers_Zones!$D$2:$D$101)-ROW(Chantiers_Zones!$D$2)+1)/(Chantiers_Zones!$E$2:$E$101="Oui"),7)),"")</f>
        <v/>
      </c>
    </row>
    <row r="9">
      <c r="G9" s="19">
        <f>IFERROR(INDEX(Intervenants!$A$2:$A$101,AGGREGATE(15,6,(ROW(Intervenants!$A$2:$A$101)-ROW(Intervenants!$A$2)+1)/(Intervenants!$E$2:$E$101="Oui"),8)),"")</f>
        <v/>
      </c>
      <c r="H9" s="19">
        <f>IFERROR(INDEX(Chantiers_Zones!$B$2:$B$101,AGGREGATE(15,6,(ROW(Chantiers_Zones!$B$2:$B$101)-ROW(Chantiers_Zones!$B$2)+1)/(Chantiers_Zones!$E$2:$E$101="Oui"),8)),"")</f>
        <v/>
      </c>
      <c r="I9" s="19">
        <f>IFERROR(INDEX(Chantiers_Zones!$D$2:$D$101,AGGREGATE(15,6,(ROW(Chantiers_Zones!$D$2:$D$101)-ROW(Chantiers_Zones!$D$2)+1)/(Chantiers_Zones!$E$2:$E$101="Oui"),8)),"")</f>
        <v/>
      </c>
    </row>
    <row r="10">
      <c r="G10" s="19">
        <f>IFERROR(INDEX(Intervenants!$A$2:$A$101,AGGREGATE(15,6,(ROW(Intervenants!$A$2:$A$101)-ROW(Intervenants!$A$2)+1)/(Intervenants!$E$2:$E$101="Oui"),9)),"")</f>
        <v/>
      </c>
      <c r="H10" s="19">
        <f>IFERROR(INDEX(Chantiers_Zones!$B$2:$B$101,AGGREGATE(15,6,(ROW(Chantiers_Zones!$B$2:$B$101)-ROW(Chantiers_Zones!$B$2)+1)/(Chantiers_Zones!$E$2:$E$101="Oui"),9)),"")</f>
        <v/>
      </c>
      <c r="I10" s="19">
        <f>IFERROR(INDEX(Chantiers_Zones!$D$2:$D$101,AGGREGATE(15,6,(ROW(Chantiers_Zones!$D$2:$D$101)-ROW(Chantiers_Zones!$D$2)+1)/(Chantiers_Zones!$E$2:$E$101="Oui"),9)),"")</f>
        <v/>
      </c>
    </row>
    <row r="11">
      <c r="G11" s="19">
        <f>IFERROR(INDEX(Intervenants!$A$2:$A$101,AGGREGATE(15,6,(ROW(Intervenants!$A$2:$A$101)-ROW(Intervenants!$A$2)+1)/(Intervenants!$E$2:$E$101="Oui"),10)),"")</f>
        <v/>
      </c>
      <c r="H11" s="19">
        <f>IFERROR(INDEX(Chantiers_Zones!$B$2:$B$101,AGGREGATE(15,6,(ROW(Chantiers_Zones!$B$2:$B$101)-ROW(Chantiers_Zones!$B$2)+1)/(Chantiers_Zones!$E$2:$E$101="Oui"),10)),"")</f>
        <v/>
      </c>
      <c r="I11" s="19">
        <f>IFERROR(INDEX(Chantiers_Zones!$D$2:$D$101,AGGREGATE(15,6,(ROW(Chantiers_Zones!$D$2:$D$101)-ROW(Chantiers_Zones!$D$2)+1)/(Chantiers_Zones!$E$2:$E$101="Oui"),10)),"")</f>
        <v/>
      </c>
    </row>
    <row r="12">
      <c r="G12" s="19">
        <f>IFERROR(INDEX(Intervenants!$A$2:$A$101,AGGREGATE(15,6,(ROW(Intervenants!$A$2:$A$101)-ROW(Intervenants!$A$2)+1)/(Intervenants!$E$2:$E$101="Oui"),11)),"")</f>
        <v/>
      </c>
      <c r="H12" s="19">
        <f>IFERROR(INDEX(Chantiers_Zones!$B$2:$B$101,AGGREGATE(15,6,(ROW(Chantiers_Zones!$B$2:$B$101)-ROW(Chantiers_Zones!$B$2)+1)/(Chantiers_Zones!$E$2:$E$101="Oui"),11)),"")</f>
        <v/>
      </c>
      <c r="I12" s="19">
        <f>IFERROR(INDEX(Chantiers_Zones!$D$2:$D$101,AGGREGATE(15,6,(ROW(Chantiers_Zones!$D$2:$D$101)-ROW(Chantiers_Zones!$D$2)+1)/(Chantiers_Zones!$E$2:$E$101="Oui"),11)),"")</f>
        <v/>
      </c>
    </row>
    <row r="13">
      <c r="G13" s="19">
        <f>IFERROR(INDEX(Intervenants!$A$2:$A$101,AGGREGATE(15,6,(ROW(Intervenants!$A$2:$A$101)-ROW(Intervenants!$A$2)+1)/(Intervenants!$E$2:$E$101="Oui"),12)),"")</f>
        <v/>
      </c>
      <c r="H13" s="19">
        <f>IFERROR(INDEX(Chantiers_Zones!$B$2:$B$101,AGGREGATE(15,6,(ROW(Chantiers_Zones!$B$2:$B$101)-ROW(Chantiers_Zones!$B$2)+1)/(Chantiers_Zones!$E$2:$E$101="Oui"),12)),"")</f>
        <v/>
      </c>
      <c r="I13" s="19">
        <f>IFERROR(INDEX(Chantiers_Zones!$D$2:$D$101,AGGREGATE(15,6,(ROW(Chantiers_Zones!$D$2:$D$101)-ROW(Chantiers_Zones!$D$2)+1)/(Chantiers_Zones!$E$2:$E$101="Oui"),12)),"")</f>
        <v/>
      </c>
    </row>
    <row r="14">
      <c r="G14" s="19">
        <f>IFERROR(INDEX(Intervenants!$A$2:$A$101,AGGREGATE(15,6,(ROW(Intervenants!$A$2:$A$101)-ROW(Intervenants!$A$2)+1)/(Intervenants!$E$2:$E$101="Oui"),13)),"")</f>
        <v/>
      </c>
      <c r="H14" s="19">
        <f>IFERROR(INDEX(Chantiers_Zones!$B$2:$B$101,AGGREGATE(15,6,(ROW(Chantiers_Zones!$B$2:$B$101)-ROW(Chantiers_Zones!$B$2)+1)/(Chantiers_Zones!$E$2:$E$101="Oui"),13)),"")</f>
        <v/>
      </c>
      <c r="I14" s="19">
        <f>IFERROR(INDEX(Chantiers_Zones!$D$2:$D$101,AGGREGATE(15,6,(ROW(Chantiers_Zones!$D$2:$D$101)-ROW(Chantiers_Zones!$D$2)+1)/(Chantiers_Zones!$E$2:$E$101="Oui"),13)),"")</f>
        <v/>
      </c>
    </row>
    <row r="15">
      <c r="G15" s="19">
        <f>IFERROR(INDEX(Intervenants!$A$2:$A$101,AGGREGATE(15,6,(ROW(Intervenants!$A$2:$A$101)-ROW(Intervenants!$A$2)+1)/(Intervenants!$E$2:$E$101="Oui"),14)),"")</f>
        <v/>
      </c>
      <c r="H15" s="19">
        <f>IFERROR(INDEX(Chantiers_Zones!$B$2:$B$101,AGGREGATE(15,6,(ROW(Chantiers_Zones!$B$2:$B$101)-ROW(Chantiers_Zones!$B$2)+1)/(Chantiers_Zones!$E$2:$E$101="Oui"),14)),"")</f>
        <v/>
      </c>
      <c r="I15" s="19">
        <f>IFERROR(INDEX(Chantiers_Zones!$D$2:$D$101,AGGREGATE(15,6,(ROW(Chantiers_Zones!$D$2:$D$101)-ROW(Chantiers_Zones!$D$2)+1)/(Chantiers_Zones!$E$2:$E$101="Oui"),14)),"")</f>
        <v/>
      </c>
    </row>
    <row r="16">
      <c r="G16" s="19">
        <f>IFERROR(INDEX(Intervenants!$A$2:$A$101,AGGREGATE(15,6,(ROW(Intervenants!$A$2:$A$101)-ROW(Intervenants!$A$2)+1)/(Intervenants!$E$2:$E$101="Oui"),15)),"")</f>
        <v/>
      </c>
      <c r="H16" s="19">
        <f>IFERROR(INDEX(Chantiers_Zones!$B$2:$B$101,AGGREGATE(15,6,(ROW(Chantiers_Zones!$B$2:$B$101)-ROW(Chantiers_Zones!$B$2)+1)/(Chantiers_Zones!$E$2:$E$101="Oui"),15)),"")</f>
        <v/>
      </c>
      <c r="I16" s="19">
        <f>IFERROR(INDEX(Chantiers_Zones!$D$2:$D$101,AGGREGATE(15,6,(ROW(Chantiers_Zones!$D$2:$D$101)-ROW(Chantiers_Zones!$D$2)+1)/(Chantiers_Zones!$E$2:$E$101="Oui"),15)),"")</f>
        <v/>
      </c>
    </row>
    <row r="17">
      <c r="G17" s="19">
        <f>IFERROR(INDEX(Intervenants!$A$2:$A$101,AGGREGATE(15,6,(ROW(Intervenants!$A$2:$A$101)-ROW(Intervenants!$A$2)+1)/(Intervenants!$E$2:$E$101="Oui"),16)),"")</f>
        <v/>
      </c>
      <c r="H17" s="19">
        <f>IFERROR(INDEX(Chantiers_Zones!$B$2:$B$101,AGGREGATE(15,6,(ROW(Chantiers_Zones!$B$2:$B$101)-ROW(Chantiers_Zones!$B$2)+1)/(Chantiers_Zones!$E$2:$E$101="Oui"),16)),"")</f>
        <v/>
      </c>
      <c r="I17" s="19">
        <f>IFERROR(INDEX(Chantiers_Zones!$D$2:$D$101,AGGREGATE(15,6,(ROW(Chantiers_Zones!$D$2:$D$101)-ROW(Chantiers_Zones!$D$2)+1)/(Chantiers_Zones!$E$2:$E$101="Oui"),16)),"")</f>
        <v/>
      </c>
    </row>
    <row r="18">
      <c r="G18" s="19">
        <f>IFERROR(INDEX(Intervenants!$A$2:$A$101,AGGREGATE(15,6,(ROW(Intervenants!$A$2:$A$101)-ROW(Intervenants!$A$2)+1)/(Intervenants!$E$2:$E$101="Oui"),17)),"")</f>
        <v/>
      </c>
      <c r="H18" s="19">
        <f>IFERROR(INDEX(Chantiers_Zones!$B$2:$B$101,AGGREGATE(15,6,(ROW(Chantiers_Zones!$B$2:$B$101)-ROW(Chantiers_Zones!$B$2)+1)/(Chantiers_Zones!$E$2:$E$101="Oui"),17)),"")</f>
        <v/>
      </c>
      <c r="I18" s="19">
        <f>IFERROR(INDEX(Chantiers_Zones!$D$2:$D$101,AGGREGATE(15,6,(ROW(Chantiers_Zones!$D$2:$D$101)-ROW(Chantiers_Zones!$D$2)+1)/(Chantiers_Zones!$E$2:$E$101="Oui"),17)),"")</f>
        <v/>
      </c>
    </row>
    <row r="19">
      <c r="G19" s="19">
        <f>IFERROR(INDEX(Intervenants!$A$2:$A$101,AGGREGATE(15,6,(ROW(Intervenants!$A$2:$A$101)-ROW(Intervenants!$A$2)+1)/(Intervenants!$E$2:$E$101="Oui"),18)),"")</f>
        <v/>
      </c>
      <c r="H19" s="19">
        <f>IFERROR(INDEX(Chantiers_Zones!$B$2:$B$101,AGGREGATE(15,6,(ROW(Chantiers_Zones!$B$2:$B$101)-ROW(Chantiers_Zones!$B$2)+1)/(Chantiers_Zones!$E$2:$E$101="Oui"),18)),"")</f>
        <v/>
      </c>
      <c r="I19" s="19">
        <f>IFERROR(INDEX(Chantiers_Zones!$D$2:$D$101,AGGREGATE(15,6,(ROW(Chantiers_Zones!$D$2:$D$101)-ROW(Chantiers_Zones!$D$2)+1)/(Chantiers_Zones!$E$2:$E$101="Oui"),18)),"")</f>
        <v/>
      </c>
    </row>
    <row r="20">
      <c r="G20" s="19">
        <f>IFERROR(INDEX(Intervenants!$A$2:$A$101,AGGREGATE(15,6,(ROW(Intervenants!$A$2:$A$101)-ROW(Intervenants!$A$2)+1)/(Intervenants!$E$2:$E$101="Oui"),19)),"")</f>
        <v/>
      </c>
      <c r="H20" s="19">
        <f>IFERROR(INDEX(Chantiers_Zones!$B$2:$B$101,AGGREGATE(15,6,(ROW(Chantiers_Zones!$B$2:$B$101)-ROW(Chantiers_Zones!$B$2)+1)/(Chantiers_Zones!$E$2:$E$101="Oui"),19)),"")</f>
        <v/>
      </c>
      <c r="I20" s="19">
        <f>IFERROR(INDEX(Chantiers_Zones!$D$2:$D$101,AGGREGATE(15,6,(ROW(Chantiers_Zones!$D$2:$D$101)-ROW(Chantiers_Zones!$D$2)+1)/(Chantiers_Zones!$E$2:$E$101="Oui"),19)),"")</f>
        <v/>
      </c>
    </row>
    <row r="21">
      <c r="G21" s="19">
        <f>IFERROR(INDEX(Intervenants!$A$2:$A$101,AGGREGATE(15,6,(ROW(Intervenants!$A$2:$A$101)-ROW(Intervenants!$A$2)+1)/(Intervenants!$E$2:$E$101="Oui"),20)),"")</f>
        <v/>
      </c>
      <c r="H21" s="19">
        <f>IFERROR(INDEX(Chantiers_Zones!$B$2:$B$101,AGGREGATE(15,6,(ROW(Chantiers_Zones!$B$2:$B$101)-ROW(Chantiers_Zones!$B$2)+1)/(Chantiers_Zones!$E$2:$E$101="Oui"),20)),"")</f>
        <v/>
      </c>
      <c r="I21" s="19">
        <f>IFERROR(INDEX(Chantiers_Zones!$D$2:$D$101,AGGREGATE(15,6,(ROW(Chantiers_Zones!$D$2:$D$101)-ROW(Chantiers_Zones!$D$2)+1)/(Chantiers_Zones!$E$2:$E$101="Oui"),20)),"")</f>
        <v/>
      </c>
    </row>
    <row r="22">
      <c r="G22" s="19">
        <f>IFERROR(INDEX(Intervenants!$A$2:$A$101,AGGREGATE(15,6,(ROW(Intervenants!$A$2:$A$101)-ROW(Intervenants!$A$2)+1)/(Intervenants!$E$2:$E$101="Oui"),21)),"")</f>
        <v/>
      </c>
      <c r="H22" s="19">
        <f>IFERROR(INDEX(Chantiers_Zones!$B$2:$B$101,AGGREGATE(15,6,(ROW(Chantiers_Zones!$B$2:$B$101)-ROW(Chantiers_Zones!$B$2)+1)/(Chantiers_Zones!$E$2:$E$101="Oui"),21)),"")</f>
        <v/>
      </c>
      <c r="I22" s="19">
        <f>IFERROR(INDEX(Chantiers_Zones!$D$2:$D$101,AGGREGATE(15,6,(ROW(Chantiers_Zones!$D$2:$D$101)-ROW(Chantiers_Zones!$D$2)+1)/(Chantiers_Zones!$E$2:$E$101="Oui"),21)),"")</f>
        <v/>
      </c>
    </row>
    <row r="23">
      <c r="G23" s="19">
        <f>IFERROR(INDEX(Intervenants!$A$2:$A$101,AGGREGATE(15,6,(ROW(Intervenants!$A$2:$A$101)-ROW(Intervenants!$A$2)+1)/(Intervenants!$E$2:$E$101="Oui"),22)),"")</f>
        <v/>
      </c>
      <c r="H23" s="19">
        <f>IFERROR(INDEX(Chantiers_Zones!$B$2:$B$101,AGGREGATE(15,6,(ROW(Chantiers_Zones!$B$2:$B$101)-ROW(Chantiers_Zones!$B$2)+1)/(Chantiers_Zones!$E$2:$E$101="Oui"),22)),"")</f>
        <v/>
      </c>
      <c r="I23" s="19">
        <f>IFERROR(INDEX(Chantiers_Zones!$D$2:$D$101,AGGREGATE(15,6,(ROW(Chantiers_Zones!$D$2:$D$101)-ROW(Chantiers_Zones!$D$2)+1)/(Chantiers_Zones!$E$2:$E$101="Oui"),22)),"")</f>
        <v/>
      </c>
    </row>
    <row r="24">
      <c r="G24" s="19">
        <f>IFERROR(INDEX(Intervenants!$A$2:$A$101,AGGREGATE(15,6,(ROW(Intervenants!$A$2:$A$101)-ROW(Intervenants!$A$2)+1)/(Intervenants!$E$2:$E$101="Oui"),23)),"")</f>
        <v/>
      </c>
      <c r="H24" s="19">
        <f>IFERROR(INDEX(Chantiers_Zones!$B$2:$B$101,AGGREGATE(15,6,(ROW(Chantiers_Zones!$B$2:$B$101)-ROW(Chantiers_Zones!$B$2)+1)/(Chantiers_Zones!$E$2:$E$101="Oui"),23)),"")</f>
        <v/>
      </c>
      <c r="I24" s="19">
        <f>IFERROR(INDEX(Chantiers_Zones!$D$2:$D$101,AGGREGATE(15,6,(ROW(Chantiers_Zones!$D$2:$D$101)-ROW(Chantiers_Zones!$D$2)+1)/(Chantiers_Zones!$E$2:$E$101="Oui"),23)),"")</f>
        <v/>
      </c>
    </row>
    <row r="25">
      <c r="G25" s="19">
        <f>IFERROR(INDEX(Intervenants!$A$2:$A$101,AGGREGATE(15,6,(ROW(Intervenants!$A$2:$A$101)-ROW(Intervenants!$A$2)+1)/(Intervenants!$E$2:$E$101="Oui"),24)),"")</f>
        <v/>
      </c>
      <c r="H25" s="19">
        <f>IFERROR(INDEX(Chantiers_Zones!$B$2:$B$101,AGGREGATE(15,6,(ROW(Chantiers_Zones!$B$2:$B$101)-ROW(Chantiers_Zones!$B$2)+1)/(Chantiers_Zones!$E$2:$E$101="Oui"),24)),"")</f>
        <v/>
      </c>
      <c r="I25" s="19">
        <f>IFERROR(INDEX(Chantiers_Zones!$D$2:$D$101,AGGREGATE(15,6,(ROW(Chantiers_Zones!$D$2:$D$101)-ROW(Chantiers_Zones!$D$2)+1)/(Chantiers_Zones!$E$2:$E$101="Oui"),24)),"")</f>
        <v/>
      </c>
    </row>
    <row r="26">
      <c r="G26" s="19">
        <f>IFERROR(INDEX(Intervenants!$A$2:$A$101,AGGREGATE(15,6,(ROW(Intervenants!$A$2:$A$101)-ROW(Intervenants!$A$2)+1)/(Intervenants!$E$2:$E$101="Oui"),25)),"")</f>
        <v/>
      </c>
      <c r="H26" s="19">
        <f>IFERROR(INDEX(Chantiers_Zones!$B$2:$B$101,AGGREGATE(15,6,(ROW(Chantiers_Zones!$B$2:$B$101)-ROW(Chantiers_Zones!$B$2)+1)/(Chantiers_Zones!$E$2:$E$101="Oui"),25)),"")</f>
        <v/>
      </c>
      <c r="I26" s="19">
        <f>IFERROR(INDEX(Chantiers_Zones!$D$2:$D$101,AGGREGATE(15,6,(ROW(Chantiers_Zones!$D$2:$D$101)-ROW(Chantiers_Zones!$D$2)+1)/(Chantiers_Zones!$E$2:$E$101="Oui"),25)),"")</f>
        <v/>
      </c>
    </row>
    <row r="27">
      <c r="G27" s="19">
        <f>IFERROR(INDEX(Intervenants!$A$2:$A$101,AGGREGATE(15,6,(ROW(Intervenants!$A$2:$A$101)-ROW(Intervenants!$A$2)+1)/(Intervenants!$E$2:$E$101="Oui"),26)),"")</f>
        <v/>
      </c>
      <c r="H27" s="19">
        <f>IFERROR(INDEX(Chantiers_Zones!$B$2:$B$101,AGGREGATE(15,6,(ROW(Chantiers_Zones!$B$2:$B$101)-ROW(Chantiers_Zones!$B$2)+1)/(Chantiers_Zones!$E$2:$E$101="Oui"),26)),"")</f>
        <v/>
      </c>
      <c r="I27" s="19">
        <f>IFERROR(INDEX(Chantiers_Zones!$D$2:$D$101,AGGREGATE(15,6,(ROW(Chantiers_Zones!$D$2:$D$101)-ROW(Chantiers_Zones!$D$2)+1)/(Chantiers_Zones!$E$2:$E$101="Oui"),26)),"")</f>
        <v/>
      </c>
    </row>
    <row r="28">
      <c r="G28" s="19">
        <f>IFERROR(INDEX(Intervenants!$A$2:$A$101,AGGREGATE(15,6,(ROW(Intervenants!$A$2:$A$101)-ROW(Intervenants!$A$2)+1)/(Intervenants!$E$2:$E$101="Oui"),27)),"")</f>
        <v/>
      </c>
      <c r="H28" s="19">
        <f>IFERROR(INDEX(Chantiers_Zones!$B$2:$B$101,AGGREGATE(15,6,(ROW(Chantiers_Zones!$B$2:$B$101)-ROW(Chantiers_Zones!$B$2)+1)/(Chantiers_Zones!$E$2:$E$101="Oui"),27)),"")</f>
        <v/>
      </c>
      <c r="I28" s="19">
        <f>IFERROR(INDEX(Chantiers_Zones!$D$2:$D$101,AGGREGATE(15,6,(ROW(Chantiers_Zones!$D$2:$D$101)-ROW(Chantiers_Zones!$D$2)+1)/(Chantiers_Zones!$E$2:$E$101="Oui"),27)),"")</f>
        <v/>
      </c>
    </row>
    <row r="29">
      <c r="G29" s="19">
        <f>IFERROR(INDEX(Intervenants!$A$2:$A$101,AGGREGATE(15,6,(ROW(Intervenants!$A$2:$A$101)-ROW(Intervenants!$A$2)+1)/(Intervenants!$E$2:$E$101="Oui"),28)),"")</f>
        <v/>
      </c>
      <c r="H29" s="19">
        <f>IFERROR(INDEX(Chantiers_Zones!$B$2:$B$101,AGGREGATE(15,6,(ROW(Chantiers_Zones!$B$2:$B$101)-ROW(Chantiers_Zones!$B$2)+1)/(Chantiers_Zones!$E$2:$E$101="Oui"),28)),"")</f>
        <v/>
      </c>
      <c r="I29" s="19">
        <f>IFERROR(INDEX(Chantiers_Zones!$D$2:$D$101,AGGREGATE(15,6,(ROW(Chantiers_Zones!$D$2:$D$101)-ROW(Chantiers_Zones!$D$2)+1)/(Chantiers_Zones!$E$2:$E$101="Oui"),28)),"")</f>
        <v/>
      </c>
    </row>
    <row r="30">
      <c r="G30" s="19">
        <f>IFERROR(INDEX(Intervenants!$A$2:$A$101,AGGREGATE(15,6,(ROW(Intervenants!$A$2:$A$101)-ROW(Intervenants!$A$2)+1)/(Intervenants!$E$2:$E$101="Oui"),29)),"")</f>
        <v/>
      </c>
      <c r="H30" s="19">
        <f>IFERROR(INDEX(Chantiers_Zones!$B$2:$B$101,AGGREGATE(15,6,(ROW(Chantiers_Zones!$B$2:$B$101)-ROW(Chantiers_Zones!$B$2)+1)/(Chantiers_Zones!$E$2:$E$101="Oui"),29)),"")</f>
        <v/>
      </c>
      <c r="I30" s="19">
        <f>IFERROR(INDEX(Chantiers_Zones!$D$2:$D$101,AGGREGATE(15,6,(ROW(Chantiers_Zones!$D$2:$D$101)-ROW(Chantiers_Zones!$D$2)+1)/(Chantiers_Zones!$E$2:$E$101="Oui"),29)),"")</f>
        <v/>
      </c>
    </row>
    <row r="31">
      <c r="G31" s="19">
        <f>IFERROR(INDEX(Intervenants!$A$2:$A$101,AGGREGATE(15,6,(ROW(Intervenants!$A$2:$A$101)-ROW(Intervenants!$A$2)+1)/(Intervenants!$E$2:$E$101="Oui"),30)),"")</f>
        <v/>
      </c>
      <c r="H31" s="19">
        <f>IFERROR(INDEX(Chantiers_Zones!$B$2:$B$101,AGGREGATE(15,6,(ROW(Chantiers_Zones!$B$2:$B$101)-ROW(Chantiers_Zones!$B$2)+1)/(Chantiers_Zones!$E$2:$E$101="Oui"),30)),"")</f>
        <v/>
      </c>
      <c r="I31" s="19">
        <f>IFERROR(INDEX(Chantiers_Zones!$D$2:$D$101,AGGREGATE(15,6,(ROW(Chantiers_Zones!$D$2:$D$101)-ROW(Chantiers_Zones!$D$2)+1)/(Chantiers_Zones!$E$2:$E$101="Oui"),30)),"")</f>
        <v/>
      </c>
    </row>
    <row r="32">
      <c r="G32" s="19">
        <f>IFERROR(INDEX(Intervenants!$A$2:$A$101,AGGREGATE(15,6,(ROW(Intervenants!$A$2:$A$101)-ROW(Intervenants!$A$2)+1)/(Intervenants!$E$2:$E$101="Oui"),31)),"")</f>
        <v/>
      </c>
      <c r="H32" s="19">
        <f>IFERROR(INDEX(Chantiers_Zones!$B$2:$B$101,AGGREGATE(15,6,(ROW(Chantiers_Zones!$B$2:$B$101)-ROW(Chantiers_Zones!$B$2)+1)/(Chantiers_Zones!$E$2:$E$101="Oui"),31)),"")</f>
        <v/>
      </c>
      <c r="I32" s="19">
        <f>IFERROR(INDEX(Chantiers_Zones!$D$2:$D$101,AGGREGATE(15,6,(ROW(Chantiers_Zones!$D$2:$D$101)-ROW(Chantiers_Zones!$D$2)+1)/(Chantiers_Zones!$E$2:$E$101="Oui"),31)),"")</f>
        <v/>
      </c>
    </row>
    <row r="33">
      <c r="G33" s="19">
        <f>IFERROR(INDEX(Intervenants!$A$2:$A$101,AGGREGATE(15,6,(ROW(Intervenants!$A$2:$A$101)-ROW(Intervenants!$A$2)+1)/(Intervenants!$E$2:$E$101="Oui"),32)),"")</f>
        <v/>
      </c>
      <c r="H33" s="19">
        <f>IFERROR(INDEX(Chantiers_Zones!$B$2:$B$101,AGGREGATE(15,6,(ROW(Chantiers_Zones!$B$2:$B$101)-ROW(Chantiers_Zones!$B$2)+1)/(Chantiers_Zones!$E$2:$E$101="Oui"),32)),"")</f>
        <v/>
      </c>
      <c r="I33" s="19">
        <f>IFERROR(INDEX(Chantiers_Zones!$D$2:$D$101,AGGREGATE(15,6,(ROW(Chantiers_Zones!$D$2:$D$101)-ROW(Chantiers_Zones!$D$2)+1)/(Chantiers_Zones!$E$2:$E$101="Oui"),32)),"")</f>
        <v/>
      </c>
    </row>
    <row r="34">
      <c r="G34" s="19">
        <f>IFERROR(INDEX(Intervenants!$A$2:$A$101,AGGREGATE(15,6,(ROW(Intervenants!$A$2:$A$101)-ROW(Intervenants!$A$2)+1)/(Intervenants!$E$2:$E$101="Oui"),33)),"")</f>
        <v/>
      </c>
      <c r="H34" s="19">
        <f>IFERROR(INDEX(Chantiers_Zones!$B$2:$B$101,AGGREGATE(15,6,(ROW(Chantiers_Zones!$B$2:$B$101)-ROW(Chantiers_Zones!$B$2)+1)/(Chantiers_Zones!$E$2:$E$101="Oui"),33)),"")</f>
        <v/>
      </c>
      <c r="I34" s="19">
        <f>IFERROR(INDEX(Chantiers_Zones!$D$2:$D$101,AGGREGATE(15,6,(ROW(Chantiers_Zones!$D$2:$D$101)-ROW(Chantiers_Zones!$D$2)+1)/(Chantiers_Zones!$E$2:$E$101="Oui"),33)),"")</f>
        <v/>
      </c>
    </row>
    <row r="35">
      <c r="G35" s="19">
        <f>IFERROR(INDEX(Intervenants!$A$2:$A$101,AGGREGATE(15,6,(ROW(Intervenants!$A$2:$A$101)-ROW(Intervenants!$A$2)+1)/(Intervenants!$E$2:$E$101="Oui"),34)),"")</f>
        <v/>
      </c>
      <c r="H35" s="19">
        <f>IFERROR(INDEX(Chantiers_Zones!$B$2:$B$101,AGGREGATE(15,6,(ROW(Chantiers_Zones!$B$2:$B$101)-ROW(Chantiers_Zones!$B$2)+1)/(Chantiers_Zones!$E$2:$E$101="Oui"),34)),"")</f>
        <v/>
      </c>
      <c r="I35" s="19">
        <f>IFERROR(INDEX(Chantiers_Zones!$D$2:$D$101,AGGREGATE(15,6,(ROW(Chantiers_Zones!$D$2:$D$101)-ROW(Chantiers_Zones!$D$2)+1)/(Chantiers_Zones!$E$2:$E$101="Oui"),34)),"")</f>
        <v/>
      </c>
    </row>
    <row r="36">
      <c r="G36" s="19">
        <f>IFERROR(INDEX(Intervenants!$A$2:$A$101,AGGREGATE(15,6,(ROW(Intervenants!$A$2:$A$101)-ROW(Intervenants!$A$2)+1)/(Intervenants!$E$2:$E$101="Oui"),35)),"")</f>
        <v/>
      </c>
      <c r="H36" s="19">
        <f>IFERROR(INDEX(Chantiers_Zones!$B$2:$B$101,AGGREGATE(15,6,(ROW(Chantiers_Zones!$B$2:$B$101)-ROW(Chantiers_Zones!$B$2)+1)/(Chantiers_Zones!$E$2:$E$101="Oui"),35)),"")</f>
        <v/>
      </c>
      <c r="I36" s="19">
        <f>IFERROR(INDEX(Chantiers_Zones!$D$2:$D$101,AGGREGATE(15,6,(ROW(Chantiers_Zones!$D$2:$D$101)-ROW(Chantiers_Zones!$D$2)+1)/(Chantiers_Zones!$E$2:$E$101="Oui"),35)),"")</f>
        <v/>
      </c>
    </row>
    <row r="37">
      <c r="G37" s="19">
        <f>IFERROR(INDEX(Intervenants!$A$2:$A$101,AGGREGATE(15,6,(ROW(Intervenants!$A$2:$A$101)-ROW(Intervenants!$A$2)+1)/(Intervenants!$E$2:$E$101="Oui"),36)),"")</f>
        <v/>
      </c>
      <c r="H37" s="19">
        <f>IFERROR(INDEX(Chantiers_Zones!$B$2:$B$101,AGGREGATE(15,6,(ROW(Chantiers_Zones!$B$2:$B$101)-ROW(Chantiers_Zones!$B$2)+1)/(Chantiers_Zones!$E$2:$E$101="Oui"),36)),"")</f>
        <v/>
      </c>
      <c r="I37" s="19">
        <f>IFERROR(INDEX(Chantiers_Zones!$D$2:$D$101,AGGREGATE(15,6,(ROW(Chantiers_Zones!$D$2:$D$101)-ROW(Chantiers_Zones!$D$2)+1)/(Chantiers_Zones!$E$2:$E$101="Oui"),36)),"")</f>
        <v/>
      </c>
    </row>
    <row r="38">
      <c r="G38" s="19">
        <f>IFERROR(INDEX(Intervenants!$A$2:$A$101,AGGREGATE(15,6,(ROW(Intervenants!$A$2:$A$101)-ROW(Intervenants!$A$2)+1)/(Intervenants!$E$2:$E$101="Oui"),37)),"")</f>
        <v/>
      </c>
      <c r="H38" s="19">
        <f>IFERROR(INDEX(Chantiers_Zones!$B$2:$B$101,AGGREGATE(15,6,(ROW(Chantiers_Zones!$B$2:$B$101)-ROW(Chantiers_Zones!$B$2)+1)/(Chantiers_Zones!$E$2:$E$101="Oui"),37)),"")</f>
        <v/>
      </c>
      <c r="I38" s="19">
        <f>IFERROR(INDEX(Chantiers_Zones!$D$2:$D$101,AGGREGATE(15,6,(ROW(Chantiers_Zones!$D$2:$D$101)-ROW(Chantiers_Zones!$D$2)+1)/(Chantiers_Zones!$E$2:$E$101="Oui"),37)),"")</f>
        <v/>
      </c>
    </row>
    <row r="39">
      <c r="G39" s="19">
        <f>IFERROR(INDEX(Intervenants!$A$2:$A$101,AGGREGATE(15,6,(ROW(Intervenants!$A$2:$A$101)-ROW(Intervenants!$A$2)+1)/(Intervenants!$E$2:$E$101="Oui"),38)),"")</f>
        <v/>
      </c>
      <c r="H39" s="19">
        <f>IFERROR(INDEX(Chantiers_Zones!$B$2:$B$101,AGGREGATE(15,6,(ROW(Chantiers_Zones!$B$2:$B$101)-ROW(Chantiers_Zones!$B$2)+1)/(Chantiers_Zones!$E$2:$E$101="Oui"),38)),"")</f>
        <v/>
      </c>
      <c r="I39" s="19">
        <f>IFERROR(INDEX(Chantiers_Zones!$D$2:$D$101,AGGREGATE(15,6,(ROW(Chantiers_Zones!$D$2:$D$101)-ROW(Chantiers_Zones!$D$2)+1)/(Chantiers_Zones!$E$2:$E$101="Oui"),38)),"")</f>
        <v/>
      </c>
    </row>
    <row r="40">
      <c r="G40" s="19">
        <f>IFERROR(INDEX(Intervenants!$A$2:$A$101,AGGREGATE(15,6,(ROW(Intervenants!$A$2:$A$101)-ROW(Intervenants!$A$2)+1)/(Intervenants!$E$2:$E$101="Oui"),39)),"")</f>
        <v/>
      </c>
      <c r="H40" s="19">
        <f>IFERROR(INDEX(Chantiers_Zones!$B$2:$B$101,AGGREGATE(15,6,(ROW(Chantiers_Zones!$B$2:$B$101)-ROW(Chantiers_Zones!$B$2)+1)/(Chantiers_Zones!$E$2:$E$101="Oui"),39)),"")</f>
        <v/>
      </c>
      <c r="I40" s="19">
        <f>IFERROR(INDEX(Chantiers_Zones!$D$2:$D$101,AGGREGATE(15,6,(ROW(Chantiers_Zones!$D$2:$D$101)-ROW(Chantiers_Zones!$D$2)+1)/(Chantiers_Zones!$E$2:$E$101="Oui"),39)),"")</f>
        <v/>
      </c>
    </row>
    <row r="41">
      <c r="G41" s="19">
        <f>IFERROR(INDEX(Intervenants!$A$2:$A$101,AGGREGATE(15,6,(ROW(Intervenants!$A$2:$A$101)-ROW(Intervenants!$A$2)+1)/(Intervenants!$E$2:$E$101="Oui"),40)),"")</f>
        <v/>
      </c>
      <c r="H41" s="19">
        <f>IFERROR(INDEX(Chantiers_Zones!$B$2:$B$101,AGGREGATE(15,6,(ROW(Chantiers_Zones!$B$2:$B$101)-ROW(Chantiers_Zones!$B$2)+1)/(Chantiers_Zones!$E$2:$E$101="Oui"),40)),"")</f>
        <v/>
      </c>
      <c r="I41" s="19">
        <f>IFERROR(INDEX(Chantiers_Zones!$D$2:$D$101,AGGREGATE(15,6,(ROW(Chantiers_Zones!$D$2:$D$101)-ROW(Chantiers_Zones!$D$2)+1)/(Chantiers_Zones!$E$2:$E$101="Oui"),40)),"")</f>
        <v/>
      </c>
    </row>
    <row r="42">
      <c r="G42" s="19">
        <f>IFERROR(INDEX(Intervenants!$A$2:$A$101,AGGREGATE(15,6,(ROW(Intervenants!$A$2:$A$101)-ROW(Intervenants!$A$2)+1)/(Intervenants!$E$2:$E$101="Oui"),41)),"")</f>
        <v/>
      </c>
      <c r="H42" s="19">
        <f>IFERROR(INDEX(Chantiers_Zones!$B$2:$B$101,AGGREGATE(15,6,(ROW(Chantiers_Zones!$B$2:$B$101)-ROW(Chantiers_Zones!$B$2)+1)/(Chantiers_Zones!$E$2:$E$101="Oui"),41)),"")</f>
        <v/>
      </c>
      <c r="I42" s="19">
        <f>IFERROR(INDEX(Chantiers_Zones!$D$2:$D$101,AGGREGATE(15,6,(ROW(Chantiers_Zones!$D$2:$D$101)-ROW(Chantiers_Zones!$D$2)+1)/(Chantiers_Zones!$E$2:$E$101="Oui"),41)),"")</f>
        <v/>
      </c>
    </row>
    <row r="43">
      <c r="G43" s="19">
        <f>IFERROR(INDEX(Intervenants!$A$2:$A$101,AGGREGATE(15,6,(ROW(Intervenants!$A$2:$A$101)-ROW(Intervenants!$A$2)+1)/(Intervenants!$E$2:$E$101="Oui"),42)),"")</f>
        <v/>
      </c>
      <c r="H43" s="19">
        <f>IFERROR(INDEX(Chantiers_Zones!$B$2:$B$101,AGGREGATE(15,6,(ROW(Chantiers_Zones!$B$2:$B$101)-ROW(Chantiers_Zones!$B$2)+1)/(Chantiers_Zones!$E$2:$E$101="Oui"),42)),"")</f>
        <v/>
      </c>
      <c r="I43" s="19">
        <f>IFERROR(INDEX(Chantiers_Zones!$D$2:$D$101,AGGREGATE(15,6,(ROW(Chantiers_Zones!$D$2:$D$101)-ROW(Chantiers_Zones!$D$2)+1)/(Chantiers_Zones!$E$2:$E$101="Oui"),42)),"")</f>
        <v/>
      </c>
    </row>
    <row r="44">
      <c r="G44" s="19">
        <f>IFERROR(INDEX(Intervenants!$A$2:$A$101,AGGREGATE(15,6,(ROW(Intervenants!$A$2:$A$101)-ROW(Intervenants!$A$2)+1)/(Intervenants!$E$2:$E$101="Oui"),43)),"")</f>
        <v/>
      </c>
      <c r="H44" s="19">
        <f>IFERROR(INDEX(Chantiers_Zones!$B$2:$B$101,AGGREGATE(15,6,(ROW(Chantiers_Zones!$B$2:$B$101)-ROW(Chantiers_Zones!$B$2)+1)/(Chantiers_Zones!$E$2:$E$101="Oui"),43)),"")</f>
        <v/>
      </c>
      <c r="I44" s="19">
        <f>IFERROR(INDEX(Chantiers_Zones!$D$2:$D$101,AGGREGATE(15,6,(ROW(Chantiers_Zones!$D$2:$D$101)-ROW(Chantiers_Zones!$D$2)+1)/(Chantiers_Zones!$E$2:$E$101="Oui"),43)),"")</f>
        <v/>
      </c>
    </row>
    <row r="45">
      <c r="G45" s="19">
        <f>IFERROR(INDEX(Intervenants!$A$2:$A$101,AGGREGATE(15,6,(ROW(Intervenants!$A$2:$A$101)-ROW(Intervenants!$A$2)+1)/(Intervenants!$E$2:$E$101="Oui"),44)),"")</f>
        <v/>
      </c>
      <c r="H45" s="19">
        <f>IFERROR(INDEX(Chantiers_Zones!$B$2:$B$101,AGGREGATE(15,6,(ROW(Chantiers_Zones!$B$2:$B$101)-ROW(Chantiers_Zones!$B$2)+1)/(Chantiers_Zones!$E$2:$E$101="Oui"),44)),"")</f>
        <v/>
      </c>
      <c r="I45" s="19">
        <f>IFERROR(INDEX(Chantiers_Zones!$D$2:$D$101,AGGREGATE(15,6,(ROW(Chantiers_Zones!$D$2:$D$101)-ROW(Chantiers_Zones!$D$2)+1)/(Chantiers_Zones!$E$2:$E$101="Oui"),44)),"")</f>
        <v/>
      </c>
    </row>
    <row r="46">
      <c r="G46" s="19">
        <f>IFERROR(INDEX(Intervenants!$A$2:$A$101,AGGREGATE(15,6,(ROW(Intervenants!$A$2:$A$101)-ROW(Intervenants!$A$2)+1)/(Intervenants!$E$2:$E$101="Oui"),45)),"")</f>
        <v/>
      </c>
      <c r="H46" s="19">
        <f>IFERROR(INDEX(Chantiers_Zones!$B$2:$B$101,AGGREGATE(15,6,(ROW(Chantiers_Zones!$B$2:$B$101)-ROW(Chantiers_Zones!$B$2)+1)/(Chantiers_Zones!$E$2:$E$101="Oui"),45)),"")</f>
        <v/>
      </c>
      <c r="I46" s="19">
        <f>IFERROR(INDEX(Chantiers_Zones!$D$2:$D$101,AGGREGATE(15,6,(ROW(Chantiers_Zones!$D$2:$D$101)-ROW(Chantiers_Zones!$D$2)+1)/(Chantiers_Zones!$E$2:$E$101="Oui"),45)),"")</f>
        <v/>
      </c>
    </row>
    <row r="47">
      <c r="G47" s="19">
        <f>IFERROR(INDEX(Intervenants!$A$2:$A$101,AGGREGATE(15,6,(ROW(Intervenants!$A$2:$A$101)-ROW(Intervenants!$A$2)+1)/(Intervenants!$E$2:$E$101="Oui"),46)),"")</f>
        <v/>
      </c>
      <c r="H47" s="19">
        <f>IFERROR(INDEX(Chantiers_Zones!$B$2:$B$101,AGGREGATE(15,6,(ROW(Chantiers_Zones!$B$2:$B$101)-ROW(Chantiers_Zones!$B$2)+1)/(Chantiers_Zones!$E$2:$E$101="Oui"),46)),"")</f>
        <v/>
      </c>
      <c r="I47" s="19">
        <f>IFERROR(INDEX(Chantiers_Zones!$D$2:$D$101,AGGREGATE(15,6,(ROW(Chantiers_Zones!$D$2:$D$101)-ROW(Chantiers_Zones!$D$2)+1)/(Chantiers_Zones!$E$2:$E$101="Oui"),46)),"")</f>
        <v/>
      </c>
    </row>
    <row r="48">
      <c r="G48" s="19">
        <f>IFERROR(INDEX(Intervenants!$A$2:$A$101,AGGREGATE(15,6,(ROW(Intervenants!$A$2:$A$101)-ROW(Intervenants!$A$2)+1)/(Intervenants!$E$2:$E$101="Oui"),47)),"")</f>
        <v/>
      </c>
      <c r="H48" s="19">
        <f>IFERROR(INDEX(Chantiers_Zones!$B$2:$B$101,AGGREGATE(15,6,(ROW(Chantiers_Zones!$B$2:$B$101)-ROW(Chantiers_Zones!$B$2)+1)/(Chantiers_Zones!$E$2:$E$101="Oui"),47)),"")</f>
        <v/>
      </c>
      <c r="I48" s="19">
        <f>IFERROR(INDEX(Chantiers_Zones!$D$2:$D$101,AGGREGATE(15,6,(ROW(Chantiers_Zones!$D$2:$D$101)-ROW(Chantiers_Zones!$D$2)+1)/(Chantiers_Zones!$E$2:$E$101="Oui"),47)),"")</f>
        <v/>
      </c>
    </row>
    <row r="49">
      <c r="G49" s="19">
        <f>IFERROR(INDEX(Intervenants!$A$2:$A$101,AGGREGATE(15,6,(ROW(Intervenants!$A$2:$A$101)-ROW(Intervenants!$A$2)+1)/(Intervenants!$E$2:$E$101="Oui"),48)),"")</f>
        <v/>
      </c>
      <c r="H49" s="19">
        <f>IFERROR(INDEX(Chantiers_Zones!$B$2:$B$101,AGGREGATE(15,6,(ROW(Chantiers_Zones!$B$2:$B$101)-ROW(Chantiers_Zones!$B$2)+1)/(Chantiers_Zones!$E$2:$E$101="Oui"),48)),"")</f>
        <v/>
      </c>
      <c r="I49" s="19">
        <f>IFERROR(INDEX(Chantiers_Zones!$D$2:$D$101,AGGREGATE(15,6,(ROW(Chantiers_Zones!$D$2:$D$101)-ROW(Chantiers_Zones!$D$2)+1)/(Chantiers_Zones!$E$2:$E$101="Oui"),48)),"")</f>
        <v/>
      </c>
    </row>
    <row r="50">
      <c r="G50" s="19">
        <f>IFERROR(INDEX(Intervenants!$A$2:$A$101,AGGREGATE(15,6,(ROW(Intervenants!$A$2:$A$101)-ROW(Intervenants!$A$2)+1)/(Intervenants!$E$2:$E$101="Oui"),49)),"")</f>
        <v/>
      </c>
      <c r="H50" s="19">
        <f>IFERROR(INDEX(Chantiers_Zones!$B$2:$B$101,AGGREGATE(15,6,(ROW(Chantiers_Zones!$B$2:$B$101)-ROW(Chantiers_Zones!$B$2)+1)/(Chantiers_Zones!$E$2:$E$101="Oui"),49)),"")</f>
        <v/>
      </c>
      <c r="I50" s="19">
        <f>IFERROR(INDEX(Chantiers_Zones!$D$2:$D$101,AGGREGATE(15,6,(ROW(Chantiers_Zones!$D$2:$D$101)-ROW(Chantiers_Zones!$D$2)+1)/(Chantiers_Zones!$E$2:$E$101="Oui"),49)),"")</f>
        <v/>
      </c>
    </row>
    <row r="51">
      <c r="G51" s="19">
        <f>IFERROR(INDEX(Intervenants!$A$2:$A$101,AGGREGATE(15,6,(ROW(Intervenants!$A$2:$A$101)-ROW(Intervenants!$A$2)+1)/(Intervenants!$E$2:$E$101="Oui"),50)),"")</f>
        <v/>
      </c>
      <c r="H51" s="19">
        <f>IFERROR(INDEX(Chantiers_Zones!$B$2:$B$101,AGGREGATE(15,6,(ROW(Chantiers_Zones!$B$2:$B$101)-ROW(Chantiers_Zones!$B$2)+1)/(Chantiers_Zones!$E$2:$E$101="Oui"),50)),"")</f>
        <v/>
      </c>
      <c r="I51" s="19">
        <f>IFERROR(INDEX(Chantiers_Zones!$D$2:$D$101,AGGREGATE(15,6,(ROW(Chantiers_Zones!$D$2:$D$101)-ROW(Chantiers_Zones!$D$2)+1)/(Chantiers_Zones!$E$2:$E$101="Oui"),50)),"")</f>
        <v/>
      </c>
    </row>
    <row r="52">
      <c r="G52" s="19">
        <f>IFERROR(INDEX(Intervenants!$A$2:$A$101,AGGREGATE(15,6,(ROW(Intervenants!$A$2:$A$101)-ROW(Intervenants!$A$2)+1)/(Intervenants!$E$2:$E$101="Oui"),51)),"")</f>
        <v/>
      </c>
      <c r="H52" s="19">
        <f>IFERROR(INDEX(Chantiers_Zones!$B$2:$B$101,AGGREGATE(15,6,(ROW(Chantiers_Zones!$B$2:$B$101)-ROW(Chantiers_Zones!$B$2)+1)/(Chantiers_Zones!$E$2:$E$101="Oui"),51)),"")</f>
        <v/>
      </c>
      <c r="I52" s="19">
        <f>IFERROR(INDEX(Chantiers_Zones!$D$2:$D$101,AGGREGATE(15,6,(ROW(Chantiers_Zones!$D$2:$D$101)-ROW(Chantiers_Zones!$D$2)+1)/(Chantiers_Zones!$E$2:$E$101="Oui"),51)),"")</f>
        <v/>
      </c>
    </row>
    <row r="53">
      <c r="G53" s="19">
        <f>IFERROR(INDEX(Intervenants!$A$2:$A$101,AGGREGATE(15,6,(ROW(Intervenants!$A$2:$A$101)-ROW(Intervenants!$A$2)+1)/(Intervenants!$E$2:$E$101="Oui"),52)),"")</f>
        <v/>
      </c>
      <c r="H53" s="19">
        <f>IFERROR(INDEX(Chantiers_Zones!$B$2:$B$101,AGGREGATE(15,6,(ROW(Chantiers_Zones!$B$2:$B$101)-ROW(Chantiers_Zones!$B$2)+1)/(Chantiers_Zones!$E$2:$E$101="Oui"),52)),"")</f>
        <v/>
      </c>
      <c r="I53" s="19">
        <f>IFERROR(INDEX(Chantiers_Zones!$D$2:$D$101,AGGREGATE(15,6,(ROW(Chantiers_Zones!$D$2:$D$101)-ROW(Chantiers_Zones!$D$2)+1)/(Chantiers_Zones!$E$2:$E$101="Oui"),52)),"")</f>
        <v/>
      </c>
    </row>
    <row r="54">
      <c r="G54" s="19">
        <f>IFERROR(INDEX(Intervenants!$A$2:$A$101,AGGREGATE(15,6,(ROW(Intervenants!$A$2:$A$101)-ROW(Intervenants!$A$2)+1)/(Intervenants!$E$2:$E$101="Oui"),53)),"")</f>
        <v/>
      </c>
      <c r="H54" s="19">
        <f>IFERROR(INDEX(Chantiers_Zones!$B$2:$B$101,AGGREGATE(15,6,(ROW(Chantiers_Zones!$B$2:$B$101)-ROW(Chantiers_Zones!$B$2)+1)/(Chantiers_Zones!$E$2:$E$101="Oui"),53)),"")</f>
        <v/>
      </c>
      <c r="I54" s="19">
        <f>IFERROR(INDEX(Chantiers_Zones!$D$2:$D$101,AGGREGATE(15,6,(ROW(Chantiers_Zones!$D$2:$D$101)-ROW(Chantiers_Zones!$D$2)+1)/(Chantiers_Zones!$E$2:$E$101="Oui"),53)),"")</f>
        <v/>
      </c>
    </row>
    <row r="55">
      <c r="G55" s="19">
        <f>IFERROR(INDEX(Intervenants!$A$2:$A$101,AGGREGATE(15,6,(ROW(Intervenants!$A$2:$A$101)-ROW(Intervenants!$A$2)+1)/(Intervenants!$E$2:$E$101="Oui"),54)),"")</f>
        <v/>
      </c>
      <c r="H55" s="19">
        <f>IFERROR(INDEX(Chantiers_Zones!$B$2:$B$101,AGGREGATE(15,6,(ROW(Chantiers_Zones!$B$2:$B$101)-ROW(Chantiers_Zones!$B$2)+1)/(Chantiers_Zones!$E$2:$E$101="Oui"),54)),"")</f>
        <v/>
      </c>
      <c r="I55" s="19">
        <f>IFERROR(INDEX(Chantiers_Zones!$D$2:$D$101,AGGREGATE(15,6,(ROW(Chantiers_Zones!$D$2:$D$101)-ROW(Chantiers_Zones!$D$2)+1)/(Chantiers_Zones!$E$2:$E$101="Oui"),54)),"")</f>
        <v/>
      </c>
    </row>
    <row r="56">
      <c r="G56" s="19">
        <f>IFERROR(INDEX(Intervenants!$A$2:$A$101,AGGREGATE(15,6,(ROW(Intervenants!$A$2:$A$101)-ROW(Intervenants!$A$2)+1)/(Intervenants!$E$2:$E$101="Oui"),55)),"")</f>
        <v/>
      </c>
      <c r="H56" s="19">
        <f>IFERROR(INDEX(Chantiers_Zones!$B$2:$B$101,AGGREGATE(15,6,(ROW(Chantiers_Zones!$B$2:$B$101)-ROW(Chantiers_Zones!$B$2)+1)/(Chantiers_Zones!$E$2:$E$101="Oui"),55)),"")</f>
        <v/>
      </c>
      <c r="I56" s="19">
        <f>IFERROR(INDEX(Chantiers_Zones!$D$2:$D$101,AGGREGATE(15,6,(ROW(Chantiers_Zones!$D$2:$D$101)-ROW(Chantiers_Zones!$D$2)+1)/(Chantiers_Zones!$E$2:$E$101="Oui"),55)),"")</f>
        <v/>
      </c>
    </row>
    <row r="57">
      <c r="G57" s="19">
        <f>IFERROR(INDEX(Intervenants!$A$2:$A$101,AGGREGATE(15,6,(ROW(Intervenants!$A$2:$A$101)-ROW(Intervenants!$A$2)+1)/(Intervenants!$E$2:$E$101="Oui"),56)),"")</f>
        <v/>
      </c>
      <c r="H57" s="19">
        <f>IFERROR(INDEX(Chantiers_Zones!$B$2:$B$101,AGGREGATE(15,6,(ROW(Chantiers_Zones!$B$2:$B$101)-ROW(Chantiers_Zones!$B$2)+1)/(Chantiers_Zones!$E$2:$E$101="Oui"),56)),"")</f>
        <v/>
      </c>
      <c r="I57" s="19">
        <f>IFERROR(INDEX(Chantiers_Zones!$D$2:$D$101,AGGREGATE(15,6,(ROW(Chantiers_Zones!$D$2:$D$101)-ROW(Chantiers_Zones!$D$2)+1)/(Chantiers_Zones!$E$2:$E$101="Oui"),56)),"")</f>
        <v/>
      </c>
    </row>
    <row r="58">
      <c r="G58" s="19">
        <f>IFERROR(INDEX(Intervenants!$A$2:$A$101,AGGREGATE(15,6,(ROW(Intervenants!$A$2:$A$101)-ROW(Intervenants!$A$2)+1)/(Intervenants!$E$2:$E$101="Oui"),57)),"")</f>
        <v/>
      </c>
      <c r="H58" s="19">
        <f>IFERROR(INDEX(Chantiers_Zones!$B$2:$B$101,AGGREGATE(15,6,(ROW(Chantiers_Zones!$B$2:$B$101)-ROW(Chantiers_Zones!$B$2)+1)/(Chantiers_Zones!$E$2:$E$101="Oui"),57)),"")</f>
        <v/>
      </c>
      <c r="I58" s="19">
        <f>IFERROR(INDEX(Chantiers_Zones!$D$2:$D$101,AGGREGATE(15,6,(ROW(Chantiers_Zones!$D$2:$D$101)-ROW(Chantiers_Zones!$D$2)+1)/(Chantiers_Zones!$E$2:$E$101="Oui"),57)),"")</f>
        <v/>
      </c>
    </row>
    <row r="59">
      <c r="G59" s="19">
        <f>IFERROR(INDEX(Intervenants!$A$2:$A$101,AGGREGATE(15,6,(ROW(Intervenants!$A$2:$A$101)-ROW(Intervenants!$A$2)+1)/(Intervenants!$E$2:$E$101="Oui"),58)),"")</f>
        <v/>
      </c>
      <c r="H59" s="19">
        <f>IFERROR(INDEX(Chantiers_Zones!$B$2:$B$101,AGGREGATE(15,6,(ROW(Chantiers_Zones!$B$2:$B$101)-ROW(Chantiers_Zones!$B$2)+1)/(Chantiers_Zones!$E$2:$E$101="Oui"),58)),"")</f>
        <v/>
      </c>
      <c r="I59" s="19">
        <f>IFERROR(INDEX(Chantiers_Zones!$D$2:$D$101,AGGREGATE(15,6,(ROW(Chantiers_Zones!$D$2:$D$101)-ROW(Chantiers_Zones!$D$2)+1)/(Chantiers_Zones!$E$2:$E$101="Oui"),58)),"")</f>
        <v/>
      </c>
    </row>
    <row r="60">
      <c r="G60" s="19">
        <f>IFERROR(INDEX(Intervenants!$A$2:$A$101,AGGREGATE(15,6,(ROW(Intervenants!$A$2:$A$101)-ROW(Intervenants!$A$2)+1)/(Intervenants!$E$2:$E$101="Oui"),59)),"")</f>
        <v/>
      </c>
      <c r="H60" s="19">
        <f>IFERROR(INDEX(Chantiers_Zones!$B$2:$B$101,AGGREGATE(15,6,(ROW(Chantiers_Zones!$B$2:$B$101)-ROW(Chantiers_Zones!$B$2)+1)/(Chantiers_Zones!$E$2:$E$101="Oui"),59)),"")</f>
        <v/>
      </c>
      <c r="I60" s="19">
        <f>IFERROR(INDEX(Chantiers_Zones!$D$2:$D$101,AGGREGATE(15,6,(ROW(Chantiers_Zones!$D$2:$D$101)-ROW(Chantiers_Zones!$D$2)+1)/(Chantiers_Zones!$E$2:$E$101="Oui"),59)),"")</f>
        <v/>
      </c>
    </row>
    <row r="61">
      <c r="G61" s="19">
        <f>IFERROR(INDEX(Intervenants!$A$2:$A$101,AGGREGATE(15,6,(ROW(Intervenants!$A$2:$A$101)-ROW(Intervenants!$A$2)+1)/(Intervenants!$E$2:$E$101="Oui"),60)),"")</f>
        <v/>
      </c>
      <c r="H61" s="19">
        <f>IFERROR(INDEX(Chantiers_Zones!$B$2:$B$101,AGGREGATE(15,6,(ROW(Chantiers_Zones!$B$2:$B$101)-ROW(Chantiers_Zones!$B$2)+1)/(Chantiers_Zones!$E$2:$E$101="Oui"),60)),"")</f>
        <v/>
      </c>
      <c r="I61" s="19">
        <f>IFERROR(INDEX(Chantiers_Zones!$D$2:$D$101,AGGREGATE(15,6,(ROW(Chantiers_Zones!$D$2:$D$101)-ROW(Chantiers_Zones!$D$2)+1)/(Chantiers_Zones!$E$2:$E$101="Oui"),60)),"")</f>
        <v/>
      </c>
    </row>
    <row r="62">
      <c r="G62" s="19">
        <f>IFERROR(INDEX(Intervenants!$A$2:$A$101,AGGREGATE(15,6,(ROW(Intervenants!$A$2:$A$101)-ROW(Intervenants!$A$2)+1)/(Intervenants!$E$2:$E$101="Oui"),61)),"")</f>
        <v/>
      </c>
      <c r="H62" s="19">
        <f>IFERROR(INDEX(Chantiers_Zones!$B$2:$B$101,AGGREGATE(15,6,(ROW(Chantiers_Zones!$B$2:$B$101)-ROW(Chantiers_Zones!$B$2)+1)/(Chantiers_Zones!$E$2:$E$101="Oui"),61)),"")</f>
        <v/>
      </c>
      <c r="I62" s="19">
        <f>IFERROR(INDEX(Chantiers_Zones!$D$2:$D$101,AGGREGATE(15,6,(ROW(Chantiers_Zones!$D$2:$D$101)-ROW(Chantiers_Zones!$D$2)+1)/(Chantiers_Zones!$E$2:$E$101="Oui"),61)),"")</f>
        <v/>
      </c>
    </row>
    <row r="63">
      <c r="G63" s="19">
        <f>IFERROR(INDEX(Intervenants!$A$2:$A$101,AGGREGATE(15,6,(ROW(Intervenants!$A$2:$A$101)-ROW(Intervenants!$A$2)+1)/(Intervenants!$E$2:$E$101="Oui"),62)),"")</f>
        <v/>
      </c>
      <c r="H63" s="19">
        <f>IFERROR(INDEX(Chantiers_Zones!$B$2:$B$101,AGGREGATE(15,6,(ROW(Chantiers_Zones!$B$2:$B$101)-ROW(Chantiers_Zones!$B$2)+1)/(Chantiers_Zones!$E$2:$E$101="Oui"),62)),"")</f>
        <v/>
      </c>
      <c r="I63" s="19">
        <f>IFERROR(INDEX(Chantiers_Zones!$D$2:$D$101,AGGREGATE(15,6,(ROW(Chantiers_Zones!$D$2:$D$101)-ROW(Chantiers_Zones!$D$2)+1)/(Chantiers_Zones!$E$2:$E$101="Oui"),62)),"")</f>
        <v/>
      </c>
    </row>
    <row r="64">
      <c r="G64" s="19">
        <f>IFERROR(INDEX(Intervenants!$A$2:$A$101,AGGREGATE(15,6,(ROW(Intervenants!$A$2:$A$101)-ROW(Intervenants!$A$2)+1)/(Intervenants!$E$2:$E$101="Oui"),63)),"")</f>
        <v/>
      </c>
      <c r="H64" s="19">
        <f>IFERROR(INDEX(Chantiers_Zones!$B$2:$B$101,AGGREGATE(15,6,(ROW(Chantiers_Zones!$B$2:$B$101)-ROW(Chantiers_Zones!$B$2)+1)/(Chantiers_Zones!$E$2:$E$101="Oui"),63)),"")</f>
        <v/>
      </c>
      <c r="I64" s="19">
        <f>IFERROR(INDEX(Chantiers_Zones!$D$2:$D$101,AGGREGATE(15,6,(ROW(Chantiers_Zones!$D$2:$D$101)-ROW(Chantiers_Zones!$D$2)+1)/(Chantiers_Zones!$E$2:$E$101="Oui"),63)),"")</f>
        <v/>
      </c>
    </row>
    <row r="65">
      <c r="G65" s="19">
        <f>IFERROR(INDEX(Intervenants!$A$2:$A$101,AGGREGATE(15,6,(ROW(Intervenants!$A$2:$A$101)-ROW(Intervenants!$A$2)+1)/(Intervenants!$E$2:$E$101="Oui"),64)),"")</f>
        <v/>
      </c>
      <c r="H65" s="19">
        <f>IFERROR(INDEX(Chantiers_Zones!$B$2:$B$101,AGGREGATE(15,6,(ROW(Chantiers_Zones!$B$2:$B$101)-ROW(Chantiers_Zones!$B$2)+1)/(Chantiers_Zones!$E$2:$E$101="Oui"),64)),"")</f>
        <v/>
      </c>
      <c r="I65" s="19">
        <f>IFERROR(INDEX(Chantiers_Zones!$D$2:$D$101,AGGREGATE(15,6,(ROW(Chantiers_Zones!$D$2:$D$101)-ROW(Chantiers_Zones!$D$2)+1)/(Chantiers_Zones!$E$2:$E$101="Oui"),64)),"")</f>
        <v/>
      </c>
    </row>
    <row r="66">
      <c r="G66" s="19">
        <f>IFERROR(INDEX(Intervenants!$A$2:$A$101,AGGREGATE(15,6,(ROW(Intervenants!$A$2:$A$101)-ROW(Intervenants!$A$2)+1)/(Intervenants!$E$2:$E$101="Oui"),65)),"")</f>
        <v/>
      </c>
      <c r="H66" s="19">
        <f>IFERROR(INDEX(Chantiers_Zones!$B$2:$B$101,AGGREGATE(15,6,(ROW(Chantiers_Zones!$B$2:$B$101)-ROW(Chantiers_Zones!$B$2)+1)/(Chantiers_Zones!$E$2:$E$101="Oui"),65)),"")</f>
        <v/>
      </c>
      <c r="I66" s="19">
        <f>IFERROR(INDEX(Chantiers_Zones!$D$2:$D$101,AGGREGATE(15,6,(ROW(Chantiers_Zones!$D$2:$D$101)-ROW(Chantiers_Zones!$D$2)+1)/(Chantiers_Zones!$E$2:$E$101="Oui"),65)),"")</f>
        <v/>
      </c>
    </row>
    <row r="67">
      <c r="G67" s="19">
        <f>IFERROR(INDEX(Intervenants!$A$2:$A$101,AGGREGATE(15,6,(ROW(Intervenants!$A$2:$A$101)-ROW(Intervenants!$A$2)+1)/(Intervenants!$E$2:$E$101="Oui"),66)),"")</f>
        <v/>
      </c>
      <c r="H67" s="19">
        <f>IFERROR(INDEX(Chantiers_Zones!$B$2:$B$101,AGGREGATE(15,6,(ROW(Chantiers_Zones!$B$2:$B$101)-ROW(Chantiers_Zones!$B$2)+1)/(Chantiers_Zones!$E$2:$E$101="Oui"),66)),"")</f>
        <v/>
      </c>
      <c r="I67" s="19">
        <f>IFERROR(INDEX(Chantiers_Zones!$D$2:$D$101,AGGREGATE(15,6,(ROW(Chantiers_Zones!$D$2:$D$101)-ROW(Chantiers_Zones!$D$2)+1)/(Chantiers_Zones!$E$2:$E$101="Oui"),66)),"")</f>
        <v/>
      </c>
    </row>
    <row r="68">
      <c r="G68" s="19">
        <f>IFERROR(INDEX(Intervenants!$A$2:$A$101,AGGREGATE(15,6,(ROW(Intervenants!$A$2:$A$101)-ROW(Intervenants!$A$2)+1)/(Intervenants!$E$2:$E$101="Oui"),67)),"")</f>
        <v/>
      </c>
      <c r="H68" s="19">
        <f>IFERROR(INDEX(Chantiers_Zones!$B$2:$B$101,AGGREGATE(15,6,(ROW(Chantiers_Zones!$B$2:$B$101)-ROW(Chantiers_Zones!$B$2)+1)/(Chantiers_Zones!$E$2:$E$101="Oui"),67)),"")</f>
        <v/>
      </c>
      <c r="I68" s="19">
        <f>IFERROR(INDEX(Chantiers_Zones!$D$2:$D$101,AGGREGATE(15,6,(ROW(Chantiers_Zones!$D$2:$D$101)-ROW(Chantiers_Zones!$D$2)+1)/(Chantiers_Zones!$E$2:$E$101="Oui"),67)),"")</f>
        <v/>
      </c>
    </row>
    <row r="69">
      <c r="G69" s="19">
        <f>IFERROR(INDEX(Intervenants!$A$2:$A$101,AGGREGATE(15,6,(ROW(Intervenants!$A$2:$A$101)-ROW(Intervenants!$A$2)+1)/(Intervenants!$E$2:$E$101="Oui"),68)),"")</f>
        <v/>
      </c>
      <c r="H69" s="19">
        <f>IFERROR(INDEX(Chantiers_Zones!$B$2:$B$101,AGGREGATE(15,6,(ROW(Chantiers_Zones!$B$2:$B$101)-ROW(Chantiers_Zones!$B$2)+1)/(Chantiers_Zones!$E$2:$E$101="Oui"),68)),"")</f>
        <v/>
      </c>
      <c r="I69" s="19">
        <f>IFERROR(INDEX(Chantiers_Zones!$D$2:$D$101,AGGREGATE(15,6,(ROW(Chantiers_Zones!$D$2:$D$101)-ROW(Chantiers_Zones!$D$2)+1)/(Chantiers_Zones!$E$2:$E$101="Oui"),68)),"")</f>
        <v/>
      </c>
    </row>
    <row r="70">
      <c r="G70" s="19">
        <f>IFERROR(INDEX(Intervenants!$A$2:$A$101,AGGREGATE(15,6,(ROW(Intervenants!$A$2:$A$101)-ROW(Intervenants!$A$2)+1)/(Intervenants!$E$2:$E$101="Oui"),69)),"")</f>
        <v/>
      </c>
      <c r="H70" s="19">
        <f>IFERROR(INDEX(Chantiers_Zones!$B$2:$B$101,AGGREGATE(15,6,(ROW(Chantiers_Zones!$B$2:$B$101)-ROW(Chantiers_Zones!$B$2)+1)/(Chantiers_Zones!$E$2:$E$101="Oui"),69)),"")</f>
        <v/>
      </c>
      <c r="I70" s="19">
        <f>IFERROR(INDEX(Chantiers_Zones!$D$2:$D$101,AGGREGATE(15,6,(ROW(Chantiers_Zones!$D$2:$D$101)-ROW(Chantiers_Zones!$D$2)+1)/(Chantiers_Zones!$E$2:$E$101="Oui"),69)),"")</f>
        <v/>
      </c>
    </row>
    <row r="71">
      <c r="G71" s="19">
        <f>IFERROR(INDEX(Intervenants!$A$2:$A$101,AGGREGATE(15,6,(ROW(Intervenants!$A$2:$A$101)-ROW(Intervenants!$A$2)+1)/(Intervenants!$E$2:$E$101="Oui"),70)),"")</f>
        <v/>
      </c>
      <c r="H71" s="19">
        <f>IFERROR(INDEX(Chantiers_Zones!$B$2:$B$101,AGGREGATE(15,6,(ROW(Chantiers_Zones!$B$2:$B$101)-ROW(Chantiers_Zones!$B$2)+1)/(Chantiers_Zones!$E$2:$E$101="Oui"),70)),"")</f>
        <v/>
      </c>
      <c r="I71" s="19">
        <f>IFERROR(INDEX(Chantiers_Zones!$D$2:$D$101,AGGREGATE(15,6,(ROW(Chantiers_Zones!$D$2:$D$101)-ROW(Chantiers_Zones!$D$2)+1)/(Chantiers_Zones!$E$2:$E$101="Oui"),70)),"")</f>
        <v/>
      </c>
    </row>
    <row r="72">
      <c r="G72" s="19">
        <f>IFERROR(INDEX(Intervenants!$A$2:$A$101,AGGREGATE(15,6,(ROW(Intervenants!$A$2:$A$101)-ROW(Intervenants!$A$2)+1)/(Intervenants!$E$2:$E$101="Oui"),71)),"")</f>
        <v/>
      </c>
      <c r="H72" s="19">
        <f>IFERROR(INDEX(Chantiers_Zones!$B$2:$B$101,AGGREGATE(15,6,(ROW(Chantiers_Zones!$B$2:$B$101)-ROW(Chantiers_Zones!$B$2)+1)/(Chantiers_Zones!$E$2:$E$101="Oui"),71)),"")</f>
        <v/>
      </c>
      <c r="I72" s="19">
        <f>IFERROR(INDEX(Chantiers_Zones!$D$2:$D$101,AGGREGATE(15,6,(ROW(Chantiers_Zones!$D$2:$D$101)-ROW(Chantiers_Zones!$D$2)+1)/(Chantiers_Zones!$E$2:$E$101="Oui"),71)),"")</f>
        <v/>
      </c>
    </row>
    <row r="73">
      <c r="G73" s="19">
        <f>IFERROR(INDEX(Intervenants!$A$2:$A$101,AGGREGATE(15,6,(ROW(Intervenants!$A$2:$A$101)-ROW(Intervenants!$A$2)+1)/(Intervenants!$E$2:$E$101="Oui"),72)),"")</f>
        <v/>
      </c>
      <c r="H73" s="19">
        <f>IFERROR(INDEX(Chantiers_Zones!$B$2:$B$101,AGGREGATE(15,6,(ROW(Chantiers_Zones!$B$2:$B$101)-ROW(Chantiers_Zones!$B$2)+1)/(Chantiers_Zones!$E$2:$E$101="Oui"),72)),"")</f>
        <v/>
      </c>
      <c r="I73" s="19">
        <f>IFERROR(INDEX(Chantiers_Zones!$D$2:$D$101,AGGREGATE(15,6,(ROW(Chantiers_Zones!$D$2:$D$101)-ROW(Chantiers_Zones!$D$2)+1)/(Chantiers_Zones!$E$2:$E$101="Oui"),72)),"")</f>
        <v/>
      </c>
    </row>
    <row r="74">
      <c r="G74" s="19">
        <f>IFERROR(INDEX(Intervenants!$A$2:$A$101,AGGREGATE(15,6,(ROW(Intervenants!$A$2:$A$101)-ROW(Intervenants!$A$2)+1)/(Intervenants!$E$2:$E$101="Oui"),73)),"")</f>
        <v/>
      </c>
      <c r="H74" s="19">
        <f>IFERROR(INDEX(Chantiers_Zones!$B$2:$B$101,AGGREGATE(15,6,(ROW(Chantiers_Zones!$B$2:$B$101)-ROW(Chantiers_Zones!$B$2)+1)/(Chantiers_Zones!$E$2:$E$101="Oui"),73)),"")</f>
        <v/>
      </c>
      <c r="I74" s="19">
        <f>IFERROR(INDEX(Chantiers_Zones!$D$2:$D$101,AGGREGATE(15,6,(ROW(Chantiers_Zones!$D$2:$D$101)-ROW(Chantiers_Zones!$D$2)+1)/(Chantiers_Zones!$E$2:$E$101="Oui"),73)),"")</f>
        <v/>
      </c>
    </row>
    <row r="75">
      <c r="G75" s="19">
        <f>IFERROR(INDEX(Intervenants!$A$2:$A$101,AGGREGATE(15,6,(ROW(Intervenants!$A$2:$A$101)-ROW(Intervenants!$A$2)+1)/(Intervenants!$E$2:$E$101="Oui"),74)),"")</f>
        <v/>
      </c>
      <c r="H75" s="19">
        <f>IFERROR(INDEX(Chantiers_Zones!$B$2:$B$101,AGGREGATE(15,6,(ROW(Chantiers_Zones!$B$2:$B$101)-ROW(Chantiers_Zones!$B$2)+1)/(Chantiers_Zones!$E$2:$E$101="Oui"),74)),"")</f>
        <v/>
      </c>
      <c r="I75" s="19">
        <f>IFERROR(INDEX(Chantiers_Zones!$D$2:$D$101,AGGREGATE(15,6,(ROW(Chantiers_Zones!$D$2:$D$101)-ROW(Chantiers_Zones!$D$2)+1)/(Chantiers_Zones!$E$2:$E$101="Oui"),74)),"")</f>
        <v/>
      </c>
    </row>
    <row r="76">
      <c r="G76" s="19">
        <f>IFERROR(INDEX(Intervenants!$A$2:$A$101,AGGREGATE(15,6,(ROW(Intervenants!$A$2:$A$101)-ROW(Intervenants!$A$2)+1)/(Intervenants!$E$2:$E$101="Oui"),75)),"")</f>
        <v/>
      </c>
      <c r="H76" s="19">
        <f>IFERROR(INDEX(Chantiers_Zones!$B$2:$B$101,AGGREGATE(15,6,(ROW(Chantiers_Zones!$B$2:$B$101)-ROW(Chantiers_Zones!$B$2)+1)/(Chantiers_Zones!$E$2:$E$101="Oui"),75)),"")</f>
        <v/>
      </c>
      <c r="I76" s="19">
        <f>IFERROR(INDEX(Chantiers_Zones!$D$2:$D$101,AGGREGATE(15,6,(ROW(Chantiers_Zones!$D$2:$D$101)-ROW(Chantiers_Zones!$D$2)+1)/(Chantiers_Zones!$E$2:$E$101="Oui"),75)),"")</f>
        <v/>
      </c>
    </row>
    <row r="77">
      <c r="G77" s="19">
        <f>IFERROR(INDEX(Intervenants!$A$2:$A$101,AGGREGATE(15,6,(ROW(Intervenants!$A$2:$A$101)-ROW(Intervenants!$A$2)+1)/(Intervenants!$E$2:$E$101="Oui"),76)),"")</f>
        <v/>
      </c>
      <c r="H77" s="19">
        <f>IFERROR(INDEX(Chantiers_Zones!$B$2:$B$101,AGGREGATE(15,6,(ROW(Chantiers_Zones!$B$2:$B$101)-ROW(Chantiers_Zones!$B$2)+1)/(Chantiers_Zones!$E$2:$E$101="Oui"),76)),"")</f>
        <v/>
      </c>
      <c r="I77" s="19">
        <f>IFERROR(INDEX(Chantiers_Zones!$D$2:$D$101,AGGREGATE(15,6,(ROW(Chantiers_Zones!$D$2:$D$101)-ROW(Chantiers_Zones!$D$2)+1)/(Chantiers_Zones!$E$2:$E$101="Oui"),76)),"")</f>
        <v/>
      </c>
    </row>
    <row r="78">
      <c r="G78" s="19">
        <f>IFERROR(INDEX(Intervenants!$A$2:$A$101,AGGREGATE(15,6,(ROW(Intervenants!$A$2:$A$101)-ROW(Intervenants!$A$2)+1)/(Intervenants!$E$2:$E$101="Oui"),77)),"")</f>
        <v/>
      </c>
      <c r="H78" s="19">
        <f>IFERROR(INDEX(Chantiers_Zones!$B$2:$B$101,AGGREGATE(15,6,(ROW(Chantiers_Zones!$B$2:$B$101)-ROW(Chantiers_Zones!$B$2)+1)/(Chantiers_Zones!$E$2:$E$101="Oui"),77)),"")</f>
        <v/>
      </c>
      <c r="I78" s="19">
        <f>IFERROR(INDEX(Chantiers_Zones!$D$2:$D$101,AGGREGATE(15,6,(ROW(Chantiers_Zones!$D$2:$D$101)-ROW(Chantiers_Zones!$D$2)+1)/(Chantiers_Zones!$E$2:$E$101="Oui"),77)),"")</f>
        <v/>
      </c>
    </row>
    <row r="79">
      <c r="G79" s="19">
        <f>IFERROR(INDEX(Intervenants!$A$2:$A$101,AGGREGATE(15,6,(ROW(Intervenants!$A$2:$A$101)-ROW(Intervenants!$A$2)+1)/(Intervenants!$E$2:$E$101="Oui"),78)),"")</f>
        <v/>
      </c>
      <c r="H79" s="19">
        <f>IFERROR(INDEX(Chantiers_Zones!$B$2:$B$101,AGGREGATE(15,6,(ROW(Chantiers_Zones!$B$2:$B$101)-ROW(Chantiers_Zones!$B$2)+1)/(Chantiers_Zones!$E$2:$E$101="Oui"),78)),"")</f>
        <v/>
      </c>
      <c r="I79" s="19">
        <f>IFERROR(INDEX(Chantiers_Zones!$D$2:$D$101,AGGREGATE(15,6,(ROW(Chantiers_Zones!$D$2:$D$101)-ROW(Chantiers_Zones!$D$2)+1)/(Chantiers_Zones!$E$2:$E$101="Oui"),78)),"")</f>
        <v/>
      </c>
    </row>
    <row r="80">
      <c r="G80" s="19">
        <f>IFERROR(INDEX(Intervenants!$A$2:$A$101,AGGREGATE(15,6,(ROW(Intervenants!$A$2:$A$101)-ROW(Intervenants!$A$2)+1)/(Intervenants!$E$2:$E$101="Oui"),79)),"")</f>
        <v/>
      </c>
      <c r="H80" s="19">
        <f>IFERROR(INDEX(Chantiers_Zones!$B$2:$B$101,AGGREGATE(15,6,(ROW(Chantiers_Zones!$B$2:$B$101)-ROW(Chantiers_Zones!$B$2)+1)/(Chantiers_Zones!$E$2:$E$101="Oui"),79)),"")</f>
        <v/>
      </c>
      <c r="I80" s="19">
        <f>IFERROR(INDEX(Chantiers_Zones!$D$2:$D$101,AGGREGATE(15,6,(ROW(Chantiers_Zones!$D$2:$D$101)-ROW(Chantiers_Zones!$D$2)+1)/(Chantiers_Zones!$E$2:$E$101="Oui"),79)),"")</f>
        <v/>
      </c>
    </row>
    <row r="81">
      <c r="G81" s="19">
        <f>IFERROR(INDEX(Intervenants!$A$2:$A$101,AGGREGATE(15,6,(ROW(Intervenants!$A$2:$A$101)-ROW(Intervenants!$A$2)+1)/(Intervenants!$E$2:$E$101="Oui"),80)),"")</f>
        <v/>
      </c>
      <c r="H81" s="19">
        <f>IFERROR(INDEX(Chantiers_Zones!$B$2:$B$101,AGGREGATE(15,6,(ROW(Chantiers_Zones!$B$2:$B$101)-ROW(Chantiers_Zones!$B$2)+1)/(Chantiers_Zones!$E$2:$E$101="Oui"),80)),"")</f>
        <v/>
      </c>
      <c r="I81" s="19">
        <f>IFERROR(INDEX(Chantiers_Zones!$D$2:$D$101,AGGREGATE(15,6,(ROW(Chantiers_Zones!$D$2:$D$101)-ROW(Chantiers_Zones!$D$2)+1)/(Chantiers_Zones!$E$2:$E$101="Oui"),80)),"")</f>
        <v/>
      </c>
    </row>
    <row r="82">
      <c r="G82" s="19">
        <f>IFERROR(INDEX(Intervenants!$A$2:$A$101,AGGREGATE(15,6,(ROW(Intervenants!$A$2:$A$101)-ROW(Intervenants!$A$2)+1)/(Intervenants!$E$2:$E$101="Oui"),81)),"")</f>
        <v/>
      </c>
      <c r="H82" s="19">
        <f>IFERROR(INDEX(Chantiers_Zones!$B$2:$B$101,AGGREGATE(15,6,(ROW(Chantiers_Zones!$B$2:$B$101)-ROW(Chantiers_Zones!$B$2)+1)/(Chantiers_Zones!$E$2:$E$101="Oui"),81)),"")</f>
        <v/>
      </c>
      <c r="I82" s="19">
        <f>IFERROR(INDEX(Chantiers_Zones!$D$2:$D$101,AGGREGATE(15,6,(ROW(Chantiers_Zones!$D$2:$D$101)-ROW(Chantiers_Zones!$D$2)+1)/(Chantiers_Zones!$E$2:$E$101="Oui"),81)),"")</f>
        <v/>
      </c>
    </row>
    <row r="83">
      <c r="G83" s="19">
        <f>IFERROR(INDEX(Intervenants!$A$2:$A$101,AGGREGATE(15,6,(ROW(Intervenants!$A$2:$A$101)-ROW(Intervenants!$A$2)+1)/(Intervenants!$E$2:$E$101="Oui"),82)),"")</f>
        <v/>
      </c>
      <c r="H83" s="19">
        <f>IFERROR(INDEX(Chantiers_Zones!$B$2:$B$101,AGGREGATE(15,6,(ROW(Chantiers_Zones!$B$2:$B$101)-ROW(Chantiers_Zones!$B$2)+1)/(Chantiers_Zones!$E$2:$E$101="Oui"),82)),"")</f>
        <v/>
      </c>
      <c r="I83" s="19">
        <f>IFERROR(INDEX(Chantiers_Zones!$D$2:$D$101,AGGREGATE(15,6,(ROW(Chantiers_Zones!$D$2:$D$101)-ROW(Chantiers_Zones!$D$2)+1)/(Chantiers_Zones!$E$2:$E$101="Oui"),82)),"")</f>
        <v/>
      </c>
    </row>
    <row r="84">
      <c r="G84" s="19">
        <f>IFERROR(INDEX(Intervenants!$A$2:$A$101,AGGREGATE(15,6,(ROW(Intervenants!$A$2:$A$101)-ROW(Intervenants!$A$2)+1)/(Intervenants!$E$2:$E$101="Oui"),83)),"")</f>
        <v/>
      </c>
      <c r="H84" s="19">
        <f>IFERROR(INDEX(Chantiers_Zones!$B$2:$B$101,AGGREGATE(15,6,(ROW(Chantiers_Zones!$B$2:$B$101)-ROW(Chantiers_Zones!$B$2)+1)/(Chantiers_Zones!$E$2:$E$101="Oui"),83)),"")</f>
        <v/>
      </c>
      <c r="I84" s="19">
        <f>IFERROR(INDEX(Chantiers_Zones!$D$2:$D$101,AGGREGATE(15,6,(ROW(Chantiers_Zones!$D$2:$D$101)-ROW(Chantiers_Zones!$D$2)+1)/(Chantiers_Zones!$E$2:$E$101="Oui"),83)),"")</f>
        <v/>
      </c>
    </row>
    <row r="85">
      <c r="G85" s="19">
        <f>IFERROR(INDEX(Intervenants!$A$2:$A$101,AGGREGATE(15,6,(ROW(Intervenants!$A$2:$A$101)-ROW(Intervenants!$A$2)+1)/(Intervenants!$E$2:$E$101="Oui"),84)),"")</f>
        <v/>
      </c>
      <c r="H85" s="19">
        <f>IFERROR(INDEX(Chantiers_Zones!$B$2:$B$101,AGGREGATE(15,6,(ROW(Chantiers_Zones!$B$2:$B$101)-ROW(Chantiers_Zones!$B$2)+1)/(Chantiers_Zones!$E$2:$E$101="Oui"),84)),"")</f>
        <v/>
      </c>
      <c r="I85" s="19">
        <f>IFERROR(INDEX(Chantiers_Zones!$D$2:$D$101,AGGREGATE(15,6,(ROW(Chantiers_Zones!$D$2:$D$101)-ROW(Chantiers_Zones!$D$2)+1)/(Chantiers_Zones!$E$2:$E$101="Oui"),84)),"")</f>
        <v/>
      </c>
    </row>
    <row r="86">
      <c r="G86" s="19">
        <f>IFERROR(INDEX(Intervenants!$A$2:$A$101,AGGREGATE(15,6,(ROW(Intervenants!$A$2:$A$101)-ROW(Intervenants!$A$2)+1)/(Intervenants!$E$2:$E$101="Oui"),85)),"")</f>
        <v/>
      </c>
      <c r="H86" s="19">
        <f>IFERROR(INDEX(Chantiers_Zones!$B$2:$B$101,AGGREGATE(15,6,(ROW(Chantiers_Zones!$B$2:$B$101)-ROW(Chantiers_Zones!$B$2)+1)/(Chantiers_Zones!$E$2:$E$101="Oui"),85)),"")</f>
        <v/>
      </c>
      <c r="I86" s="19">
        <f>IFERROR(INDEX(Chantiers_Zones!$D$2:$D$101,AGGREGATE(15,6,(ROW(Chantiers_Zones!$D$2:$D$101)-ROW(Chantiers_Zones!$D$2)+1)/(Chantiers_Zones!$E$2:$E$101="Oui"),85)),"")</f>
        <v/>
      </c>
    </row>
    <row r="87">
      <c r="G87" s="19">
        <f>IFERROR(INDEX(Intervenants!$A$2:$A$101,AGGREGATE(15,6,(ROW(Intervenants!$A$2:$A$101)-ROW(Intervenants!$A$2)+1)/(Intervenants!$E$2:$E$101="Oui"),86)),"")</f>
        <v/>
      </c>
      <c r="H87" s="19">
        <f>IFERROR(INDEX(Chantiers_Zones!$B$2:$B$101,AGGREGATE(15,6,(ROW(Chantiers_Zones!$B$2:$B$101)-ROW(Chantiers_Zones!$B$2)+1)/(Chantiers_Zones!$E$2:$E$101="Oui"),86)),"")</f>
        <v/>
      </c>
      <c r="I87" s="19">
        <f>IFERROR(INDEX(Chantiers_Zones!$D$2:$D$101,AGGREGATE(15,6,(ROW(Chantiers_Zones!$D$2:$D$101)-ROW(Chantiers_Zones!$D$2)+1)/(Chantiers_Zones!$E$2:$E$101="Oui"),86)),"")</f>
        <v/>
      </c>
    </row>
    <row r="88">
      <c r="G88" s="19">
        <f>IFERROR(INDEX(Intervenants!$A$2:$A$101,AGGREGATE(15,6,(ROW(Intervenants!$A$2:$A$101)-ROW(Intervenants!$A$2)+1)/(Intervenants!$E$2:$E$101="Oui"),87)),"")</f>
        <v/>
      </c>
      <c r="H88" s="19">
        <f>IFERROR(INDEX(Chantiers_Zones!$B$2:$B$101,AGGREGATE(15,6,(ROW(Chantiers_Zones!$B$2:$B$101)-ROW(Chantiers_Zones!$B$2)+1)/(Chantiers_Zones!$E$2:$E$101="Oui"),87)),"")</f>
        <v/>
      </c>
      <c r="I88" s="19">
        <f>IFERROR(INDEX(Chantiers_Zones!$D$2:$D$101,AGGREGATE(15,6,(ROW(Chantiers_Zones!$D$2:$D$101)-ROW(Chantiers_Zones!$D$2)+1)/(Chantiers_Zones!$E$2:$E$101="Oui"),87)),"")</f>
        <v/>
      </c>
    </row>
    <row r="89">
      <c r="G89" s="19">
        <f>IFERROR(INDEX(Intervenants!$A$2:$A$101,AGGREGATE(15,6,(ROW(Intervenants!$A$2:$A$101)-ROW(Intervenants!$A$2)+1)/(Intervenants!$E$2:$E$101="Oui"),88)),"")</f>
        <v/>
      </c>
      <c r="H89" s="19">
        <f>IFERROR(INDEX(Chantiers_Zones!$B$2:$B$101,AGGREGATE(15,6,(ROW(Chantiers_Zones!$B$2:$B$101)-ROW(Chantiers_Zones!$B$2)+1)/(Chantiers_Zones!$E$2:$E$101="Oui"),88)),"")</f>
        <v/>
      </c>
      <c r="I89" s="19">
        <f>IFERROR(INDEX(Chantiers_Zones!$D$2:$D$101,AGGREGATE(15,6,(ROW(Chantiers_Zones!$D$2:$D$101)-ROW(Chantiers_Zones!$D$2)+1)/(Chantiers_Zones!$E$2:$E$101="Oui"),88)),"")</f>
        <v/>
      </c>
    </row>
    <row r="90">
      <c r="G90" s="19">
        <f>IFERROR(INDEX(Intervenants!$A$2:$A$101,AGGREGATE(15,6,(ROW(Intervenants!$A$2:$A$101)-ROW(Intervenants!$A$2)+1)/(Intervenants!$E$2:$E$101="Oui"),89)),"")</f>
        <v/>
      </c>
      <c r="H90" s="19">
        <f>IFERROR(INDEX(Chantiers_Zones!$B$2:$B$101,AGGREGATE(15,6,(ROW(Chantiers_Zones!$B$2:$B$101)-ROW(Chantiers_Zones!$B$2)+1)/(Chantiers_Zones!$E$2:$E$101="Oui"),89)),"")</f>
        <v/>
      </c>
      <c r="I90" s="19">
        <f>IFERROR(INDEX(Chantiers_Zones!$D$2:$D$101,AGGREGATE(15,6,(ROW(Chantiers_Zones!$D$2:$D$101)-ROW(Chantiers_Zones!$D$2)+1)/(Chantiers_Zones!$E$2:$E$101="Oui"),89)),"")</f>
        <v/>
      </c>
    </row>
    <row r="91">
      <c r="G91" s="19">
        <f>IFERROR(INDEX(Intervenants!$A$2:$A$101,AGGREGATE(15,6,(ROW(Intervenants!$A$2:$A$101)-ROW(Intervenants!$A$2)+1)/(Intervenants!$E$2:$E$101="Oui"),90)),"")</f>
        <v/>
      </c>
      <c r="H91" s="19">
        <f>IFERROR(INDEX(Chantiers_Zones!$B$2:$B$101,AGGREGATE(15,6,(ROW(Chantiers_Zones!$B$2:$B$101)-ROW(Chantiers_Zones!$B$2)+1)/(Chantiers_Zones!$E$2:$E$101="Oui"),90)),"")</f>
        <v/>
      </c>
      <c r="I91" s="19">
        <f>IFERROR(INDEX(Chantiers_Zones!$D$2:$D$101,AGGREGATE(15,6,(ROW(Chantiers_Zones!$D$2:$D$101)-ROW(Chantiers_Zones!$D$2)+1)/(Chantiers_Zones!$E$2:$E$101="Oui"),90)),"")</f>
        <v/>
      </c>
    </row>
    <row r="92">
      <c r="G92" s="19">
        <f>IFERROR(INDEX(Intervenants!$A$2:$A$101,AGGREGATE(15,6,(ROW(Intervenants!$A$2:$A$101)-ROW(Intervenants!$A$2)+1)/(Intervenants!$E$2:$E$101="Oui"),91)),"")</f>
        <v/>
      </c>
      <c r="H92" s="19">
        <f>IFERROR(INDEX(Chantiers_Zones!$B$2:$B$101,AGGREGATE(15,6,(ROW(Chantiers_Zones!$B$2:$B$101)-ROW(Chantiers_Zones!$B$2)+1)/(Chantiers_Zones!$E$2:$E$101="Oui"),91)),"")</f>
        <v/>
      </c>
      <c r="I92" s="19">
        <f>IFERROR(INDEX(Chantiers_Zones!$D$2:$D$101,AGGREGATE(15,6,(ROW(Chantiers_Zones!$D$2:$D$101)-ROW(Chantiers_Zones!$D$2)+1)/(Chantiers_Zones!$E$2:$E$101="Oui"),91)),"")</f>
        <v/>
      </c>
    </row>
    <row r="93">
      <c r="G93" s="19">
        <f>IFERROR(INDEX(Intervenants!$A$2:$A$101,AGGREGATE(15,6,(ROW(Intervenants!$A$2:$A$101)-ROW(Intervenants!$A$2)+1)/(Intervenants!$E$2:$E$101="Oui"),92)),"")</f>
        <v/>
      </c>
      <c r="H93" s="19">
        <f>IFERROR(INDEX(Chantiers_Zones!$B$2:$B$101,AGGREGATE(15,6,(ROW(Chantiers_Zones!$B$2:$B$101)-ROW(Chantiers_Zones!$B$2)+1)/(Chantiers_Zones!$E$2:$E$101="Oui"),92)),"")</f>
        <v/>
      </c>
      <c r="I93" s="19">
        <f>IFERROR(INDEX(Chantiers_Zones!$D$2:$D$101,AGGREGATE(15,6,(ROW(Chantiers_Zones!$D$2:$D$101)-ROW(Chantiers_Zones!$D$2)+1)/(Chantiers_Zones!$E$2:$E$101="Oui"),92)),"")</f>
        <v/>
      </c>
    </row>
    <row r="94">
      <c r="G94" s="19">
        <f>IFERROR(INDEX(Intervenants!$A$2:$A$101,AGGREGATE(15,6,(ROW(Intervenants!$A$2:$A$101)-ROW(Intervenants!$A$2)+1)/(Intervenants!$E$2:$E$101="Oui"),93)),"")</f>
        <v/>
      </c>
      <c r="H94" s="19">
        <f>IFERROR(INDEX(Chantiers_Zones!$B$2:$B$101,AGGREGATE(15,6,(ROW(Chantiers_Zones!$B$2:$B$101)-ROW(Chantiers_Zones!$B$2)+1)/(Chantiers_Zones!$E$2:$E$101="Oui"),93)),"")</f>
        <v/>
      </c>
      <c r="I94" s="19">
        <f>IFERROR(INDEX(Chantiers_Zones!$D$2:$D$101,AGGREGATE(15,6,(ROW(Chantiers_Zones!$D$2:$D$101)-ROW(Chantiers_Zones!$D$2)+1)/(Chantiers_Zones!$E$2:$E$101="Oui"),93)),"")</f>
        <v/>
      </c>
    </row>
    <row r="95">
      <c r="G95" s="19">
        <f>IFERROR(INDEX(Intervenants!$A$2:$A$101,AGGREGATE(15,6,(ROW(Intervenants!$A$2:$A$101)-ROW(Intervenants!$A$2)+1)/(Intervenants!$E$2:$E$101="Oui"),94)),"")</f>
        <v/>
      </c>
      <c r="H95" s="19">
        <f>IFERROR(INDEX(Chantiers_Zones!$B$2:$B$101,AGGREGATE(15,6,(ROW(Chantiers_Zones!$B$2:$B$101)-ROW(Chantiers_Zones!$B$2)+1)/(Chantiers_Zones!$E$2:$E$101="Oui"),94)),"")</f>
        <v/>
      </c>
      <c r="I95" s="19">
        <f>IFERROR(INDEX(Chantiers_Zones!$D$2:$D$101,AGGREGATE(15,6,(ROW(Chantiers_Zones!$D$2:$D$101)-ROW(Chantiers_Zones!$D$2)+1)/(Chantiers_Zones!$E$2:$E$101="Oui"),94)),"")</f>
        <v/>
      </c>
    </row>
    <row r="96">
      <c r="G96" s="19">
        <f>IFERROR(INDEX(Intervenants!$A$2:$A$101,AGGREGATE(15,6,(ROW(Intervenants!$A$2:$A$101)-ROW(Intervenants!$A$2)+1)/(Intervenants!$E$2:$E$101="Oui"),95)),"")</f>
        <v/>
      </c>
      <c r="H96" s="19">
        <f>IFERROR(INDEX(Chantiers_Zones!$B$2:$B$101,AGGREGATE(15,6,(ROW(Chantiers_Zones!$B$2:$B$101)-ROW(Chantiers_Zones!$B$2)+1)/(Chantiers_Zones!$E$2:$E$101="Oui"),95)),"")</f>
        <v/>
      </c>
      <c r="I96" s="19">
        <f>IFERROR(INDEX(Chantiers_Zones!$D$2:$D$101,AGGREGATE(15,6,(ROW(Chantiers_Zones!$D$2:$D$101)-ROW(Chantiers_Zones!$D$2)+1)/(Chantiers_Zones!$E$2:$E$101="Oui"),95)),"")</f>
        <v/>
      </c>
    </row>
    <row r="97">
      <c r="G97" s="19">
        <f>IFERROR(INDEX(Intervenants!$A$2:$A$101,AGGREGATE(15,6,(ROW(Intervenants!$A$2:$A$101)-ROW(Intervenants!$A$2)+1)/(Intervenants!$E$2:$E$101="Oui"),96)),"")</f>
        <v/>
      </c>
      <c r="H97" s="19">
        <f>IFERROR(INDEX(Chantiers_Zones!$B$2:$B$101,AGGREGATE(15,6,(ROW(Chantiers_Zones!$B$2:$B$101)-ROW(Chantiers_Zones!$B$2)+1)/(Chantiers_Zones!$E$2:$E$101="Oui"),96)),"")</f>
        <v/>
      </c>
      <c r="I97" s="19">
        <f>IFERROR(INDEX(Chantiers_Zones!$D$2:$D$101,AGGREGATE(15,6,(ROW(Chantiers_Zones!$D$2:$D$101)-ROW(Chantiers_Zones!$D$2)+1)/(Chantiers_Zones!$E$2:$E$101="Oui"),96)),"")</f>
        <v/>
      </c>
    </row>
    <row r="98">
      <c r="G98" s="19">
        <f>IFERROR(INDEX(Intervenants!$A$2:$A$101,AGGREGATE(15,6,(ROW(Intervenants!$A$2:$A$101)-ROW(Intervenants!$A$2)+1)/(Intervenants!$E$2:$E$101="Oui"),97)),"")</f>
        <v/>
      </c>
      <c r="H98" s="19">
        <f>IFERROR(INDEX(Chantiers_Zones!$B$2:$B$101,AGGREGATE(15,6,(ROW(Chantiers_Zones!$B$2:$B$101)-ROW(Chantiers_Zones!$B$2)+1)/(Chantiers_Zones!$E$2:$E$101="Oui"),97)),"")</f>
        <v/>
      </c>
      <c r="I98" s="19">
        <f>IFERROR(INDEX(Chantiers_Zones!$D$2:$D$101,AGGREGATE(15,6,(ROW(Chantiers_Zones!$D$2:$D$101)-ROW(Chantiers_Zones!$D$2)+1)/(Chantiers_Zones!$E$2:$E$101="Oui"),97)),"")</f>
        <v/>
      </c>
    </row>
    <row r="99">
      <c r="G99" s="19">
        <f>IFERROR(INDEX(Intervenants!$A$2:$A$101,AGGREGATE(15,6,(ROW(Intervenants!$A$2:$A$101)-ROW(Intervenants!$A$2)+1)/(Intervenants!$E$2:$E$101="Oui"),98)),"")</f>
        <v/>
      </c>
      <c r="H99" s="19">
        <f>IFERROR(INDEX(Chantiers_Zones!$B$2:$B$101,AGGREGATE(15,6,(ROW(Chantiers_Zones!$B$2:$B$101)-ROW(Chantiers_Zones!$B$2)+1)/(Chantiers_Zones!$E$2:$E$101="Oui"),98)),"")</f>
        <v/>
      </c>
      <c r="I99" s="19">
        <f>IFERROR(INDEX(Chantiers_Zones!$D$2:$D$101,AGGREGATE(15,6,(ROW(Chantiers_Zones!$D$2:$D$101)-ROW(Chantiers_Zones!$D$2)+1)/(Chantiers_Zones!$E$2:$E$101="Oui"),98)),"")</f>
        <v/>
      </c>
    </row>
    <row r="100">
      <c r="G100" s="19">
        <f>IFERROR(INDEX(Intervenants!$A$2:$A$101,AGGREGATE(15,6,(ROW(Intervenants!$A$2:$A$101)-ROW(Intervenants!$A$2)+1)/(Intervenants!$E$2:$E$101="Oui"),99)),"")</f>
        <v/>
      </c>
      <c r="H100" s="19">
        <f>IFERROR(INDEX(Chantiers_Zones!$B$2:$B$101,AGGREGATE(15,6,(ROW(Chantiers_Zones!$B$2:$B$101)-ROW(Chantiers_Zones!$B$2)+1)/(Chantiers_Zones!$E$2:$E$101="Oui"),99)),"")</f>
        <v/>
      </c>
      <c r="I100" s="19">
        <f>IFERROR(INDEX(Chantiers_Zones!$D$2:$D$101,AGGREGATE(15,6,(ROW(Chantiers_Zones!$D$2:$D$101)-ROW(Chantiers_Zones!$D$2)+1)/(Chantiers_Zones!$E$2:$E$101="Oui"),99)),"")</f>
        <v/>
      </c>
    </row>
    <row r="101">
      <c r="G101" s="19">
        <f>IFERROR(INDEX(Intervenants!$A$2:$A$101,AGGREGATE(15,6,(ROW(Intervenants!$A$2:$A$101)-ROW(Intervenants!$A$2)+1)/(Intervenants!$E$2:$E$101="Oui"),100)),"")</f>
        <v/>
      </c>
      <c r="H101" s="19">
        <f>IFERROR(INDEX(Chantiers_Zones!$B$2:$B$101,AGGREGATE(15,6,(ROW(Chantiers_Zones!$B$2:$B$101)-ROW(Chantiers_Zones!$B$2)+1)/(Chantiers_Zones!$E$2:$E$101="Oui"),100)),"")</f>
        <v/>
      </c>
      <c r="I101" s="19">
        <f>IFERROR(INDEX(Chantiers_Zones!$D$2:$D$101,AGGREGATE(15,6,(ROW(Chantiers_Zones!$D$2:$D$101)-ROW(Chantiers_Zones!$D$2)+1)/(Chantiers_Zones!$E$2:$E$101="Oui"),100)),"")</f>
        <v/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Modèle interne fictif</dc:creator>
  <dc:title xmlns:dc="http://purl.org/dc/elements/1.1/">Planning d’affectation des équipes chantier</dc:title>
  <dc:subject xmlns:dc="http://purl.org/dc/elements/1.1/">Affectations nominatives fictives pour chantiers</dc:subject>
  <dcterms:created xmlns:dcterms="http://purl.org/dc/terms/" xmlns:xsi="http://www.w3.org/2001/XMLSchema-instance" xsi:type="dcterms:W3CDTF">2026-09-07T02:42:55Z</dcterms:created>
  <dcterms:modified xmlns:dcterms="http://purl.org/dc/terms/" xmlns:xsi="http://www.w3.org/2001/XMLSchema-instance" xsi:type="dcterms:W3CDTF">2026-09-07T02:42:55Z</dcterms:modified>
</cp:coreProperties>
</file>